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0lD2eZqPh1inVp072wxctmnelxrpOpnfk/odbR+54kzIg3xWuvJstrwPrfAnUBrOQoC49uJy/ebvAC/xZ2L0rg==" saltValue="mcVVrQDw8z/gkZdqge1R7A==" spinCount="100000"/>
  <workbookPr filterPrivacy="1" codeName="ThisWorkbook" defaultThemeVersion="124226"/>
  <xr:revisionPtr revIDLastSave="0" documentId="13_ncr:10001_{98623573-9814-4B79-A576-B25A43A8048B}"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2" r:id="rId6"/>
    <sheet name="WS-B-3-A-Remeas Suprt" sheetId="44"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r:id="rId16"/>
    <sheet name="WS K TRUE-UP RTEP RR" sheetId="13" state="hidden" r:id="rId17"/>
    <sheet name="WS L RESERVED" sheetId="14" r:id="rId18"/>
    <sheet name="WS M - Cost of Capital" sheetId="39" r:id="rId19"/>
    <sheet name="WS N - Sale of Plant Held" sheetId="21" r:id="rId20"/>
    <sheet name="Worksheet O" sheetId="40" r:id="rId21"/>
    <sheet name="WS P Dep. Rates" sheetId="43" r:id="rId22"/>
    <sheet name="WS Q Cap Structure" sheetId="34" r:id="rId23"/>
    <sheet name="WS R Interest" sheetId="35" r:id="rId24"/>
    <sheet name="WS R Schedule 1A" sheetId="41" r:id="rId25"/>
  </sheets>
  <definedNames>
    <definedName name="__NPh1">#REF!</definedName>
    <definedName name="_NPh1" localSheetId="6">#REF!</definedName>
    <definedName name="_NPh1">#REF!</definedName>
    <definedName name="ActExcessAmt" localSheetId="21">#REF!</definedName>
    <definedName name="ActExcessAmt" localSheetId="6">#REF!</definedName>
    <definedName name="ActExcessAmt">#REF!</definedName>
    <definedName name="ActGrTaxAmt" localSheetId="21">#REF!</definedName>
    <definedName name="ActGrTaxAmt" localSheetId="6">#REF!</definedName>
    <definedName name="ActGrTaxAmt">#REF!</definedName>
    <definedName name="ActKWHExcess" localSheetId="21">#REF!</definedName>
    <definedName name="ActKWHExcess">#REF!</definedName>
    <definedName name="ActKWHNotUsed" localSheetId="21">#REF!</definedName>
    <definedName name="ActKWHNotUsed">#REF!</definedName>
    <definedName name="ActKWHRes" localSheetId="21">#REF!</definedName>
    <definedName name="ActKWHRes">#REF!</definedName>
    <definedName name="ActKWHSubTot" localSheetId="21">#REF!</definedName>
    <definedName name="ActKWHSubTot">#REF!</definedName>
    <definedName name="ActKWHTot" localSheetId="21">#REF!</definedName>
    <definedName name="ActKWHTot">#REF!</definedName>
    <definedName name="ActNotUsedAmt" localSheetId="21">#REF!</definedName>
    <definedName name="ActNotUsedAmt">#REF!</definedName>
    <definedName name="ActResAmt" localSheetId="21">#REF!</definedName>
    <definedName name="ActResAmt">#REF!</definedName>
    <definedName name="ActSubTotAmt" localSheetId="21">#REF!</definedName>
    <definedName name="ActSubTotAmt">#REF!</definedName>
    <definedName name="ActTotAmt" localSheetId="21">#REF!</definedName>
    <definedName name="ActTotAmt">#REF!</definedName>
    <definedName name="AdminChg" localSheetId="21">#REF!</definedName>
    <definedName name="AdminChg">#REF!</definedName>
    <definedName name="AEP" localSheetId="21">#REF!</definedName>
    <definedName name="AEP">#REF!</definedName>
    <definedName name="allocator" localSheetId="21">#REF!</definedName>
    <definedName name="allocator">#REF!</definedName>
    <definedName name="allocators" localSheetId="21">#REF!</definedName>
    <definedName name="allocators">#REF!</definedName>
    <definedName name="allocatorsSWP" localSheetId="21">#REF!</definedName>
    <definedName name="allocatorsSWP">#REF!</definedName>
    <definedName name="allocatorSWP1">#REF!</definedName>
    <definedName name="APCO" localSheetId="21">#REF!</definedName>
    <definedName name="APCO" localSheetId="6">#REF!</definedName>
    <definedName name="APCO">#REF!</definedName>
    <definedName name="APCo_Hist_Allocators" localSheetId="20">#REF!</definedName>
    <definedName name="APCo_Hist_Allocators" localSheetId="1">#REF!</definedName>
    <definedName name="APCo_Hist_Allocators" localSheetId="13">#REF!</definedName>
    <definedName name="APCo_Hist_Allocators" localSheetId="18">#REF!</definedName>
    <definedName name="APCo_Hist_Allocators" localSheetId="21">#REF!</definedName>
    <definedName name="APCo_Hist_Allocators" localSheetId="24">TCOS!#REF!</definedName>
    <definedName name="APCo_Hist_Allocators" localSheetId="6">#REF!</definedName>
    <definedName name="APCo_Hist_Allocators">TCOS!#REF!</definedName>
    <definedName name="APCo_Proj_Allocators" localSheetId="13">#REF!</definedName>
    <definedName name="APCo_Proj_Allocators" localSheetId="21">#REF!</definedName>
    <definedName name="APCo_Proj_Allocators" localSheetId="6">#REF!</definedName>
    <definedName name="APCo_Proj_Allocators">#REF!</definedName>
    <definedName name="APCo_TU_Allocators" localSheetId="13">#REF!</definedName>
    <definedName name="APCo_TU_Allocators" localSheetId="21">#REF!</definedName>
    <definedName name="APCo_TU_Allocators">#REF!</definedName>
    <definedName name="AVRGPWRFCTR" localSheetId="21">#REF!</definedName>
    <definedName name="AVRGPWRFCTR">#REF!</definedName>
    <definedName name="B1HRSCRMO" localSheetId="21">#REF!</definedName>
    <definedName name="B1HRSCRMO">#REF!</definedName>
    <definedName name="B2HRSCRMO" localSheetId="21">#REF!</definedName>
    <definedName name="B2HRSCRMO">#REF!</definedName>
    <definedName name="BASERATECHG" localSheetId="21">#REF!</definedName>
    <definedName name="BASERATECHG">#REF!</definedName>
    <definedName name="BILLKWH" localSheetId="21">#REF!</definedName>
    <definedName name="BILLKWH">#REF!</definedName>
    <definedName name="BIRPCCHG" localSheetId="21">#REF!</definedName>
    <definedName name="BIRPCCHG">#REF!</definedName>
    <definedName name="BIRPDCHG1" localSheetId="21">#REF!</definedName>
    <definedName name="BIRPDCHG1">#REF!</definedName>
    <definedName name="BIRPDCHG2" localSheetId="21">#REF!</definedName>
    <definedName name="BIRPDCHG2">#REF!</definedName>
    <definedName name="BIRPECHG1" localSheetId="21">#REF!</definedName>
    <definedName name="BIRPECHG1">#REF!</definedName>
    <definedName name="BIRPECHGB1" localSheetId="21">#REF!</definedName>
    <definedName name="BIRPECHGB1">#REF!</definedName>
    <definedName name="BIRPECHGB2" localSheetId="21">#REF!</definedName>
    <definedName name="BIRPECHGB2">#REF!</definedName>
    <definedName name="BIRPECHGB3" localSheetId="21">#REF!</definedName>
    <definedName name="BIRPECHGB3">#REF!</definedName>
    <definedName name="BIRPECHGW" localSheetId="21">#REF!</definedName>
    <definedName name="BIRPECHGW">#REF!</definedName>
    <definedName name="BIRPKWH1" localSheetId="21">#REF!</definedName>
    <definedName name="BIRPKWH1">#REF!</definedName>
    <definedName name="BIRPKWHB1" localSheetId="21">#REF!</definedName>
    <definedName name="BIRPKWHB1">#REF!</definedName>
    <definedName name="BIRPKWHB2" localSheetId="21">#REF!</definedName>
    <definedName name="BIRPKWHB2">#REF!</definedName>
    <definedName name="BIRPKWHB3" localSheetId="21">#REF!</definedName>
    <definedName name="BIRPKWHB3">#REF!</definedName>
    <definedName name="BIRPKWHWH" localSheetId="21">#REF!</definedName>
    <definedName name="BIRPKWHWH">#REF!</definedName>
    <definedName name="BIRPMECHG1" localSheetId="21">#REF!</definedName>
    <definedName name="BIRPMECHG1">#REF!</definedName>
    <definedName name="BIRPOFKWH" localSheetId="21">#REF!</definedName>
    <definedName name="BIRPOFKWH">#REF!</definedName>
    <definedName name="BIRPOPKWH" localSheetId="21">#REF!</definedName>
    <definedName name="BIRPOPKWH">#REF!</definedName>
    <definedName name="BIRPP1EC" localSheetId="21">#REF!</definedName>
    <definedName name="BIRPP1EC">#REF!</definedName>
    <definedName name="BIRPP2EC" localSheetId="21">#REF!</definedName>
    <definedName name="BIRPP2EC">#REF!</definedName>
    <definedName name="BIRPP3EC" localSheetId="21">#REF!</definedName>
    <definedName name="BIRPP3EC">#REF!</definedName>
    <definedName name="BIRPP4EC" localSheetId="21">#REF!</definedName>
    <definedName name="BIRPP4EC">#REF!</definedName>
    <definedName name="BIRPP5EC" localSheetId="21">#REF!</definedName>
    <definedName name="BIRPP5EC">#REF!</definedName>
    <definedName name="BIRPPDMDCHG" localSheetId="21">#REF!</definedName>
    <definedName name="BIRPPDMDCHG">#REF!</definedName>
    <definedName name="BIRPRCHG" localSheetId="21">#REF!</definedName>
    <definedName name="BIRPRCHG">#REF!</definedName>
    <definedName name="BIRPXKVA" localSheetId="21">#REF!</definedName>
    <definedName name="BIRPXKVA">#REF!</definedName>
    <definedName name="BIRPXKVAPCT" localSheetId="21">#REF!</definedName>
    <definedName name="BIRPXKVAPCT">#REF!</definedName>
    <definedName name="BIRPXOFKW" localSheetId="21">#REF!</definedName>
    <definedName name="BIRPXOFKW">#REF!</definedName>
    <definedName name="BKUPKWH" localSheetId="21">#REF!</definedName>
    <definedName name="BKUPKWH">#REF!</definedName>
    <definedName name="BLDAMNT" localSheetId="21">#REF!</definedName>
    <definedName name="BLDAMNT">#REF!</definedName>
    <definedName name="BLDDMND" localSheetId="21">#REF!</definedName>
    <definedName name="BLDDMND">#REF!</definedName>
    <definedName name="BLDKWH" localSheetId="21">#REF!</definedName>
    <definedName name="BLDKWH">#REF!</definedName>
    <definedName name="BLDOPDMND" localSheetId="21">#REF!</definedName>
    <definedName name="BLDOPDMND">#REF!</definedName>
    <definedName name="BLNGKWB4EDR" localSheetId="21">#REF!</definedName>
    <definedName name="BLNGKWB4EDR">#REF!</definedName>
    <definedName name="BLNGKWH" localSheetId="21">#REF!</definedName>
    <definedName name="BLNGKWH">#REF!</definedName>
    <definedName name="BLNGKWHTTL" localSheetId="21">#REF!</definedName>
    <definedName name="BLNGKWHTTL">#REF!</definedName>
    <definedName name="BndBlkKwh1" localSheetId="21">#REF!</definedName>
    <definedName name="BndBlkKwh1">#REF!</definedName>
    <definedName name="BndBlkKwh2" localSheetId="21">#REF!</definedName>
    <definedName name="BndBlkKwh2">#REF!</definedName>
    <definedName name="BndBlkKwh3" localSheetId="21">#REF!</definedName>
    <definedName name="BndBlkKwh3">#REF!</definedName>
    <definedName name="BndBlkKwhChg1" localSheetId="21">#REF!</definedName>
    <definedName name="BndBlkKwhChg1">#REF!</definedName>
    <definedName name="BndBlkKwhChg2" localSheetId="21">#REF!</definedName>
    <definedName name="BndBlkKwhChg2">#REF!</definedName>
    <definedName name="BndBlkKwhChg3" localSheetId="21">#REF!</definedName>
    <definedName name="BndBlkKwhChg3">#REF!</definedName>
    <definedName name="BndBlkKwhChgT" localSheetId="21">#REF!</definedName>
    <definedName name="BndBlkKwhChgT">#REF!</definedName>
    <definedName name="BndBlkKwhChgW" localSheetId="21">#REF!</definedName>
    <definedName name="BndBlkKwhChgW">#REF!</definedName>
    <definedName name="BndBlkKwhT" localSheetId="21">#REF!</definedName>
    <definedName name="BndBlkKwhT">#REF!</definedName>
    <definedName name="BndBlkKwhW" localSheetId="21">#REF!</definedName>
    <definedName name="BndBlkKwhW">#REF!</definedName>
    <definedName name="BndCustChg" localSheetId="21">#REF!</definedName>
    <definedName name="BndCustChg">#REF!</definedName>
    <definedName name="BndDmdChg1" localSheetId="21">#REF!</definedName>
    <definedName name="BndDmdChg1">#REF!</definedName>
    <definedName name="BndDmdChg2" localSheetId="21">#REF!</definedName>
    <definedName name="BndDmdChg2">#REF!</definedName>
    <definedName name="BndExcsKvaPct" localSheetId="21">#REF!</definedName>
    <definedName name="BndExcsKvaPct">#REF!</definedName>
    <definedName name="BndMEChg" localSheetId="21">#REF!</definedName>
    <definedName name="BndMEChg">#REF!</definedName>
    <definedName name="BndOffPkKwh" localSheetId="21">#REF!</definedName>
    <definedName name="BndOffPkKwh">#REF!</definedName>
    <definedName name="BndOnPkKwh" localSheetId="21">#REF!</definedName>
    <definedName name="BndOnPkKwh">#REF!</definedName>
    <definedName name="BndPL1Chg" localSheetId="21">#REF!</definedName>
    <definedName name="BndPL1Chg">#REF!</definedName>
    <definedName name="BndPL2Chg" localSheetId="21">#REF!</definedName>
    <definedName name="BndPL2Chg">#REF!</definedName>
    <definedName name="BndPL3Chg" localSheetId="21">#REF!</definedName>
    <definedName name="BndPL3Chg">#REF!</definedName>
    <definedName name="BndPL4Chg" localSheetId="21">#REF!</definedName>
    <definedName name="BndPL4Chg">#REF!</definedName>
    <definedName name="BndPL5Chg" localSheetId="21">#REF!</definedName>
    <definedName name="BndPL5Chg">#REF!</definedName>
    <definedName name="BndReactiveChg" localSheetId="21">#REF!</definedName>
    <definedName name="BndReactiveChg">#REF!</definedName>
    <definedName name="BndXOfpKvaChg" localSheetId="21">#REF!</definedName>
    <definedName name="BndXOfpKvaChg">#REF!</definedName>
    <definedName name="BndXOfpKwChg" localSheetId="21">#REF!</definedName>
    <definedName name="BndXOfpKwChg">#REF!</definedName>
    <definedName name="BTTrueUp" localSheetId="21">#REF!</definedName>
    <definedName name="BTTrueUp">#REF!</definedName>
    <definedName name="BUNCCHG" localSheetId="21">#REF!</definedName>
    <definedName name="BUNCCHG">#REF!</definedName>
    <definedName name="BUNDCHG1" localSheetId="21">#REF!</definedName>
    <definedName name="BUNDCHG1">#REF!</definedName>
    <definedName name="BUNDCHG2" localSheetId="21">#REF!</definedName>
    <definedName name="BUNDCHG2">#REF!</definedName>
    <definedName name="BUNECHG1" localSheetId="21">#REF!</definedName>
    <definedName name="BUNECHG1">#REF!</definedName>
    <definedName name="BUNECHGB1" localSheetId="21">#REF!</definedName>
    <definedName name="BUNECHGB1">#REF!</definedName>
    <definedName name="BUNECHGB2" localSheetId="21">#REF!</definedName>
    <definedName name="BUNECHGB2">#REF!</definedName>
    <definedName name="BUNECHGB3" localSheetId="21">#REF!</definedName>
    <definedName name="BUNECHGB3">#REF!</definedName>
    <definedName name="BUNECHGW" localSheetId="21">#REF!</definedName>
    <definedName name="BUNECHGW">#REF!</definedName>
    <definedName name="BUNKWH1" localSheetId="21">#REF!</definedName>
    <definedName name="BUNKWH1">#REF!</definedName>
    <definedName name="BUNKWHB1" localSheetId="21">#REF!</definedName>
    <definedName name="BUNKWHB1">#REF!</definedName>
    <definedName name="BUNKWHB2" localSheetId="21">#REF!</definedName>
    <definedName name="BUNKWHB2">#REF!</definedName>
    <definedName name="BUNKWHB3" localSheetId="21">#REF!</definedName>
    <definedName name="BUNKWHB3">#REF!</definedName>
    <definedName name="BUNKWHWH" localSheetId="21">#REF!</definedName>
    <definedName name="BUNKWHWH">#REF!</definedName>
    <definedName name="BUNMECHG1" localSheetId="21">#REF!</definedName>
    <definedName name="BUNMECHG1">#REF!</definedName>
    <definedName name="BUNOFKWH" localSheetId="21">#REF!</definedName>
    <definedName name="BUNOFKWH">#REF!</definedName>
    <definedName name="BUNOPKWH" localSheetId="21">#REF!</definedName>
    <definedName name="BUNOPKWH">#REF!</definedName>
    <definedName name="BUNP1EC" localSheetId="21">#REF!</definedName>
    <definedName name="BUNP1EC">#REF!</definedName>
    <definedName name="BUNP2EC" localSheetId="21">#REF!</definedName>
    <definedName name="BUNP2EC">#REF!</definedName>
    <definedName name="BUNP3EC" localSheetId="21">#REF!</definedName>
    <definedName name="BUNP3EC">#REF!</definedName>
    <definedName name="BUNP4EC" localSheetId="21">#REF!</definedName>
    <definedName name="BUNP4EC">#REF!</definedName>
    <definedName name="BUNP5EC" localSheetId="21">#REF!</definedName>
    <definedName name="BUNP5EC">#REF!</definedName>
    <definedName name="BUNPDMDCHG" localSheetId="21">#REF!</definedName>
    <definedName name="BUNPDMDCHG">#REF!</definedName>
    <definedName name="BUNRCHG" localSheetId="21">#REF!</definedName>
    <definedName name="BUNRCHG">#REF!</definedName>
    <definedName name="BUNXKVA" localSheetId="21">#REF!</definedName>
    <definedName name="BUNXKVA">#REF!</definedName>
    <definedName name="BUNXKVAPCT" localSheetId="21">#REF!</definedName>
    <definedName name="BUNXKVAPCT">#REF!</definedName>
    <definedName name="BUNXOFKW" localSheetId="21">#REF!</definedName>
    <definedName name="BUNXOFKW">#REF!</definedName>
    <definedName name="CALCPFCC" localSheetId="21">#REF!</definedName>
    <definedName name="CALCPFCC">#REF!</definedName>
    <definedName name="CAPDEFA" localSheetId="21">#REF!</definedName>
    <definedName name="CAPDEFA">#REF!</definedName>
    <definedName name="CBLKWH" localSheetId="21">#REF!</definedName>
    <definedName name="CBLKWH">#REF!</definedName>
    <definedName name="City" localSheetId="21">#REF!</definedName>
    <definedName name="City">#REF!</definedName>
    <definedName name="CNTRCTDMND" localSheetId="21">#REF!</definedName>
    <definedName name="CNTRCTDMND">#REF!</definedName>
    <definedName name="CoPhoneLine" localSheetId="21">#REF!</definedName>
    <definedName name="CoPhoneLine">#REF!</definedName>
    <definedName name="CRMOINTRPTHRS" localSheetId="21">#REF!</definedName>
    <definedName name="CRMOINTRPTHRS">#REF!</definedName>
    <definedName name="CRNTMOBTKWH" localSheetId="21">#REF!</definedName>
    <definedName name="CRNTMOBTKWH">#REF!</definedName>
    <definedName name="CRNTMOFPKHRS" localSheetId="21">#REF!</definedName>
    <definedName name="CRNTMOFPKHRS">#REF!</definedName>
    <definedName name="CRNTMONPKHRS" localSheetId="21">#REF!</definedName>
    <definedName name="CRNTMONPKHRS">#REF!</definedName>
    <definedName name="CRTLBLONPKHRS" localSheetId="21">#REF!</definedName>
    <definedName name="CRTLBLONPKHRS">#REF!</definedName>
    <definedName name="CRTLBLONPKKWH" localSheetId="21">#REF!</definedName>
    <definedName name="CRTLBLONPKKWH">#REF!</definedName>
    <definedName name="CSTMRCHG" localSheetId="21">#REF!</definedName>
    <definedName name="CSTMRCHG">#REF!</definedName>
    <definedName name="CurMoAddr1" localSheetId="21">#REF!</definedName>
    <definedName name="CurMoAddr1">#REF!</definedName>
    <definedName name="CurMoAddr2" localSheetId="21">#REF!</definedName>
    <definedName name="CurMoAddr2">#REF!</definedName>
    <definedName name="CurMoBTDetail" localSheetId="21">#REF!</definedName>
    <definedName name="CurMoBTDetail">#REF!</definedName>
    <definedName name="CurMoBuyThrgh_Sheet" localSheetId="21">#REF!</definedName>
    <definedName name="CurMoBuyThrgh_Sheet">#REF!</definedName>
    <definedName name="CurMoCityStZip" localSheetId="21">#REF!</definedName>
    <definedName name="CurMoCityStZip">#REF!</definedName>
    <definedName name="CurMoCustName" localSheetId="21">#REF!</definedName>
    <definedName name="CurMoCustName">#REF!</definedName>
    <definedName name="CurMoExcessAmt" localSheetId="21">#REF!</definedName>
    <definedName name="CurMoExcessAmt">#REF!</definedName>
    <definedName name="CurMoGrTaxAmt" localSheetId="21">#REF!</definedName>
    <definedName name="CurMoGrTaxAmt">#REF!</definedName>
    <definedName name="CurMoKWHExcess" localSheetId="21">#REF!</definedName>
    <definedName name="CurMoKWHExcess">#REF!</definedName>
    <definedName name="CurMoKWHNotUsed" localSheetId="21">#REF!</definedName>
    <definedName name="CurMoKWHNotUsed">#REF!</definedName>
    <definedName name="CurMoKWHRes" localSheetId="21">#REF!</definedName>
    <definedName name="CurMoKWHRes">#REF!</definedName>
    <definedName name="CurMoKWHSubTot" localSheetId="21">#REF!</definedName>
    <definedName name="CurMoKWHSubTot">#REF!</definedName>
    <definedName name="CurMoKWHTot" localSheetId="21">#REF!</definedName>
    <definedName name="CurMoKWHTot">#REF!</definedName>
    <definedName name="CurMoMtrMult" localSheetId="21">#REF!</definedName>
    <definedName name="CurMoMtrMult">#REF!</definedName>
    <definedName name="CurMoNotUsedAmt" localSheetId="21">#REF!</definedName>
    <definedName name="CurMoNotUsedAmt">#REF!</definedName>
    <definedName name="CurMoResAmt" localSheetId="21">#REF!</definedName>
    <definedName name="CurMoResAmt">#REF!</definedName>
    <definedName name="CurMoSubTotAmt" localSheetId="21">#REF!</definedName>
    <definedName name="CurMoSubTotAmt">#REF!</definedName>
    <definedName name="CurMoTotAmt" localSheetId="21">#REF!</definedName>
    <definedName name="CurMoTotAmt">#REF!</definedName>
    <definedName name="CurrYear" localSheetId="21">#REF!</definedName>
    <definedName name="CurrYear">#REF!</definedName>
    <definedName name="CustAddr1" localSheetId="21">#REF!</definedName>
    <definedName name="CustAddr1">#REF!</definedName>
    <definedName name="CustAddr2" localSheetId="21">#REF!</definedName>
    <definedName name="CustAddr2">#REF!</definedName>
    <definedName name="CustCityStZip" localSheetId="21">#REF!</definedName>
    <definedName name="CustCityStZip">#REF!</definedName>
    <definedName name="CustName2" localSheetId="21">#REF!</definedName>
    <definedName name="CustName2">#REF!</definedName>
    <definedName name="CustTable" localSheetId="21">#REF!</definedName>
    <definedName name="CustTable">#REF!</definedName>
    <definedName name="DetailTotCbl" localSheetId="21">#REF!</definedName>
    <definedName name="DetailTotCbl">#REF!</definedName>
    <definedName name="DetailTotChg" localSheetId="21">#REF!</definedName>
    <definedName name="DetailTotChg">#REF!</definedName>
    <definedName name="DetailTotKw" localSheetId="21">#REF!</definedName>
    <definedName name="DetailTotKw">#REF!</definedName>
    <definedName name="DetailTotMargin" localSheetId="21">#REF!</definedName>
    <definedName name="DetailTotMargin">#REF!</definedName>
    <definedName name="DIRPCCHG" localSheetId="21">#REF!</definedName>
    <definedName name="DIRPCCHG">#REF!</definedName>
    <definedName name="DIRPDCHG1" localSheetId="21">#REF!</definedName>
    <definedName name="DIRPDCHG1">#REF!</definedName>
    <definedName name="DIRPDCHG2" localSheetId="21">#REF!</definedName>
    <definedName name="DIRPDCHG2">#REF!</definedName>
    <definedName name="DIRPECHG1" localSheetId="21">#REF!</definedName>
    <definedName name="DIRPECHG1">#REF!</definedName>
    <definedName name="DIRPECHGB1" localSheetId="21">#REF!</definedName>
    <definedName name="DIRPECHGB1">#REF!</definedName>
    <definedName name="DIRPECHGB2" localSheetId="21">#REF!</definedName>
    <definedName name="DIRPECHGB2">#REF!</definedName>
    <definedName name="DIRPECHGB3" localSheetId="21">#REF!</definedName>
    <definedName name="DIRPECHGB3">#REF!</definedName>
    <definedName name="DIRPMECHG1" localSheetId="21">#REF!</definedName>
    <definedName name="DIRPMECHG1">#REF!</definedName>
    <definedName name="DIRPMINDC" localSheetId="21">#REF!</definedName>
    <definedName name="DIRPMINDC">#REF!</definedName>
    <definedName name="DIRPMINEC" localSheetId="21">#REF!</definedName>
    <definedName name="DIRPMINEC">#REF!</definedName>
    <definedName name="DIRPOFKVA" localSheetId="21">#REF!</definedName>
    <definedName name="DIRPOFKVA">#REF!</definedName>
    <definedName name="DIRPOFKW" localSheetId="21">#REF!</definedName>
    <definedName name="DIRPOFKW">#REF!</definedName>
    <definedName name="DIRPOFKWH" localSheetId="21">#REF!</definedName>
    <definedName name="DIRPOFKWH">#REF!</definedName>
    <definedName name="DIRPOPKWH" localSheetId="21">#REF!</definedName>
    <definedName name="DIRPOPKWH">#REF!</definedName>
    <definedName name="DIRPP1EC" localSheetId="21">#REF!</definedName>
    <definedName name="DIRPP1EC">#REF!</definedName>
    <definedName name="DIRPP2EC" localSheetId="21">#REF!</definedName>
    <definedName name="DIRPP2EC">#REF!</definedName>
    <definedName name="DIRPP3EC" localSheetId="21">#REF!</definedName>
    <definedName name="DIRPP3EC">#REF!</definedName>
    <definedName name="DIRPP4EC" localSheetId="21">#REF!</definedName>
    <definedName name="DIRPP4EC">#REF!</definedName>
    <definedName name="DIRPP5EC" localSheetId="21">#REF!</definedName>
    <definedName name="DIRPP5EC">#REF!</definedName>
    <definedName name="DIRPRCHG" localSheetId="21">#REF!</definedName>
    <definedName name="DIRPRCHG">#REF!</definedName>
    <definedName name="DisBlkKwhChg1" localSheetId="21">#REF!</definedName>
    <definedName name="DisBlkKwhChg1">#REF!</definedName>
    <definedName name="DisBlkKwhChg2" localSheetId="21">#REF!</definedName>
    <definedName name="DisBlkKwhChg2">#REF!</definedName>
    <definedName name="DisBlkKwhChg3" localSheetId="21">#REF!</definedName>
    <definedName name="DisBlkKwhChg3">#REF!</definedName>
    <definedName name="DisBlkKwhChgT" localSheetId="21">#REF!</definedName>
    <definedName name="DisBlkKwhChgT">#REF!</definedName>
    <definedName name="DisCustChg" localSheetId="21">#REF!</definedName>
    <definedName name="DisCustChg">#REF!</definedName>
    <definedName name="DisDmdChg1" localSheetId="21">#REF!</definedName>
    <definedName name="DisDmdChg1">#REF!</definedName>
    <definedName name="DisDmdChg2" localSheetId="21">#REF!</definedName>
    <definedName name="DisDmdChg2">#REF!</definedName>
    <definedName name="DisMEChg" localSheetId="21">#REF!</definedName>
    <definedName name="DisMEChg">#REF!</definedName>
    <definedName name="DisMinDChg" localSheetId="21">#REF!</definedName>
    <definedName name="DisMinDChg">#REF!</definedName>
    <definedName name="DisMinEChg" localSheetId="21">#REF!</definedName>
    <definedName name="DisMinEChg">#REF!</definedName>
    <definedName name="DisOffPkKwh" localSheetId="21">#REF!</definedName>
    <definedName name="DisOffPkKwh">#REF!</definedName>
    <definedName name="DisOnPkKwh" localSheetId="21">#REF!</definedName>
    <definedName name="DisOnPkKwh">#REF!</definedName>
    <definedName name="DisPL1Chg" localSheetId="21">#REF!</definedName>
    <definedName name="DisPL1Chg">#REF!</definedName>
    <definedName name="DisPL2Chg" localSheetId="21">#REF!</definedName>
    <definedName name="DisPL2Chg">#REF!</definedName>
    <definedName name="DisPL3Chg" localSheetId="21">#REF!</definedName>
    <definedName name="DisPL3Chg">#REF!</definedName>
    <definedName name="DisPL4Chg" localSheetId="21">#REF!</definedName>
    <definedName name="DisPL4Chg">#REF!</definedName>
    <definedName name="DisPL5Chg" localSheetId="21">#REF!</definedName>
    <definedName name="DisPL5Chg">#REF!</definedName>
    <definedName name="DisReactiveChg" localSheetId="21">#REF!</definedName>
    <definedName name="DisReactiveChg">#REF!</definedName>
    <definedName name="DisXOfpKvaChg" localSheetId="21">#REF!</definedName>
    <definedName name="DisXOfpKvaChg">#REF!</definedName>
    <definedName name="DisXOfpKwChg" localSheetId="21">#REF!</definedName>
    <definedName name="DisXOfpKwChg">#REF!</definedName>
    <definedName name="DSTCCHG" localSheetId="21">#REF!</definedName>
    <definedName name="DSTCCHG">#REF!</definedName>
    <definedName name="DSTDCHG1" localSheetId="21">#REF!</definedName>
    <definedName name="DSTDCHG1">#REF!</definedName>
    <definedName name="DSTDCHG2" localSheetId="21">#REF!</definedName>
    <definedName name="DSTDCHG2">#REF!</definedName>
    <definedName name="DSTECHG1" localSheetId="21">#REF!</definedName>
    <definedName name="DSTECHG1">#REF!</definedName>
    <definedName name="DSTECHGB1" localSheetId="21">#REF!</definedName>
    <definedName name="DSTECHGB1">#REF!</definedName>
    <definedName name="DSTECHGB2" localSheetId="21">#REF!</definedName>
    <definedName name="DSTECHGB2">#REF!</definedName>
    <definedName name="DSTECHGB3" localSheetId="21">#REF!</definedName>
    <definedName name="DSTECHGB3">#REF!</definedName>
    <definedName name="DSTMECHG1" localSheetId="21">#REF!</definedName>
    <definedName name="DSTMECHG1">#REF!</definedName>
    <definedName name="DSTMINDC" localSheetId="21">#REF!</definedName>
    <definedName name="DSTMINDC">#REF!</definedName>
    <definedName name="DSTMINEC" localSheetId="21">#REF!</definedName>
    <definedName name="DSTMINEC">#REF!</definedName>
    <definedName name="DSTOFKWH" localSheetId="21">#REF!</definedName>
    <definedName name="DSTOFKWH">#REF!</definedName>
    <definedName name="DSTOPKWH" localSheetId="21">#REF!</definedName>
    <definedName name="DSTOPKWH">#REF!</definedName>
    <definedName name="DSTP1EC" localSheetId="21">#REF!</definedName>
    <definedName name="DSTP1EC">#REF!</definedName>
    <definedName name="DSTP2EC" localSheetId="21">#REF!</definedName>
    <definedName name="DSTP2EC">#REF!</definedName>
    <definedName name="DSTP3EC" localSheetId="21">#REF!</definedName>
    <definedName name="DSTP3EC">#REF!</definedName>
    <definedName name="DSTP4EC" localSheetId="21">#REF!</definedName>
    <definedName name="DSTP4EC">#REF!</definedName>
    <definedName name="DSTP5EC" localSheetId="21">#REF!</definedName>
    <definedName name="DSTP5EC">#REF!</definedName>
    <definedName name="DSTRCHG" localSheetId="21">#REF!</definedName>
    <definedName name="DSTRCHG">#REF!</definedName>
    <definedName name="DSTXOFKVA" localSheetId="21">#REF!</definedName>
    <definedName name="DSTXOFKVA">#REF!</definedName>
    <definedName name="DSTXOFKW" localSheetId="21">#REF!</definedName>
    <definedName name="DSTXOFKW">#REF!</definedName>
    <definedName name="EDRBASE" localSheetId="21">#REF!</definedName>
    <definedName name="EDRBASE">#REF!</definedName>
    <definedName name="EDRDATE" localSheetId="21">#REF!</definedName>
    <definedName name="EDRDATE">#REF!</definedName>
    <definedName name="EDRDSCNT" localSheetId="21">#REF!</definedName>
    <definedName name="EDRDSCNT">#REF!</definedName>
    <definedName name="EDRLVLPCT" localSheetId="21">#REF!</definedName>
    <definedName name="EDRLVLPCT">#REF!</definedName>
    <definedName name="EDRTYPE" localSheetId="21">#REF!</definedName>
    <definedName name="EDRTYPE">#REF!</definedName>
    <definedName name="EffDate" localSheetId="21">#REF!</definedName>
    <definedName name="EffDate">#REF!</definedName>
    <definedName name="ELKMCGN1" localSheetId="21">#REF!</definedName>
    <definedName name="ELKMCGN1">#REF!</definedName>
    <definedName name="ELKMCGN2" localSheetId="21">#REF!</definedName>
    <definedName name="ELKMCGN2">#REF!</definedName>
    <definedName name="ENDDTM" localSheetId="21">#REF!</definedName>
    <definedName name="ENDDTM">#REF!</definedName>
    <definedName name="ENDTIME" localSheetId="21">#REF!</definedName>
    <definedName name="ENDTIME">#REF!</definedName>
    <definedName name="EstExcessAmt" localSheetId="21">#REF!</definedName>
    <definedName name="EstExcessAmt">#REF!</definedName>
    <definedName name="EstGrTaxAmt" localSheetId="21">#REF!</definedName>
    <definedName name="EstGrTaxAmt">#REF!</definedName>
    <definedName name="EstKWHExcess" localSheetId="21">#REF!</definedName>
    <definedName name="EstKWHExcess">#REF!</definedName>
    <definedName name="EstKWHNotUsed" localSheetId="21">#REF!</definedName>
    <definedName name="EstKWHNotUsed">#REF!</definedName>
    <definedName name="EstKWHRes" localSheetId="21">#REF!</definedName>
    <definedName name="EstKWHRes">#REF!</definedName>
    <definedName name="EstKWHSubTot" localSheetId="21">#REF!</definedName>
    <definedName name="EstKWHSubTot">#REF!</definedName>
    <definedName name="EstKWHTot" localSheetId="21">#REF!</definedName>
    <definedName name="EstKWHTot">#REF!</definedName>
    <definedName name="EstNotUsedAmt" localSheetId="21">#REF!</definedName>
    <definedName name="EstNotUsedAmt">#REF!</definedName>
    <definedName name="EstResAmt" localSheetId="21">#REF!</definedName>
    <definedName name="EstResAmt">#REF!</definedName>
    <definedName name="EstSubTotAmt" localSheetId="21">#REF!</definedName>
    <definedName name="EstSubTotAmt">#REF!</definedName>
    <definedName name="EstTotAmt" localSheetId="21">#REF!</definedName>
    <definedName name="EstTotAmt">#REF!</definedName>
    <definedName name="EXCSKVACHG" localSheetId="21">#REF!</definedName>
    <definedName name="EXCSKVACHG">#REF!</definedName>
    <definedName name="EXCSKVADMND" localSheetId="21">#REF!</definedName>
    <definedName name="EXCSKVADMND">#REF!</definedName>
    <definedName name="EXCSKVAR" localSheetId="21">#REF!</definedName>
    <definedName name="EXCSKVAR">#REF!</definedName>
    <definedName name="FIRMKWH" localSheetId="21">#REF!</definedName>
    <definedName name="FIRMKWH">#REF!</definedName>
    <definedName name="FIRSTDAY" localSheetId="21">#REF!</definedName>
    <definedName name="FIRSTDAY">#REF!</definedName>
    <definedName name="FRMCPCT" localSheetId="21">#REF!</definedName>
    <definedName name="FRMCPCT">#REF!</definedName>
    <definedName name="FUELCHG" localSheetId="21">#REF!</definedName>
    <definedName name="FUELCHG">#REF!</definedName>
    <definedName name="FUELRATE" localSheetId="21">#REF!</definedName>
    <definedName name="FUELRATE">#REF!</definedName>
    <definedName name="GenBlkKwhChg1" localSheetId="21">#REF!</definedName>
    <definedName name="GenBlkKwhChg1">#REF!</definedName>
    <definedName name="GenBlkKwhChg2" localSheetId="21">#REF!</definedName>
    <definedName name="GenBlkKwhChg2">#REF!</definedName>
    <definedName name="GenBlkKwhChg3" localSheetId="21">#REF!</definedName>
    <definedName name="GenBlkKwhChg3">#REF!</definedName>
    <definedName name="GenBlkKwhChgT" localSheetId="21">#REF!</definedName>
    <definedName name="GenBlkKwhChgT">#REF!</definedName>
    <definedName name="GENCCHG" localSheetId="21">#REF!</definedName>
    <definedName name="GENCCHG">#REF!</definedName>
    <definedName name="GenCustChg" localSheetId="21">#REF!</definedName>
    <definedName name="GenCustChg">#REF!</definedName>
    <definedName name="GENDCHG1" localSheetId="21">#REF!</definedName>
    <definedName name="GENDCHG1">#REF!</definedName>
    <definedName name="GENDCHG2" localSheetId="21">#REF!</definedName>
    <definedName name="GENDCHG2">#REF!</definedName>
    <definedName name="GenDmdChg1" localSheetId="21">#REF!</definedName>
    <definedName name="GenDmdChg1">#REF!</definedName>
    <definedName name="GenDmdChg2" localSheetId="21">#REF!</definedName>
    <definedName name="GenDmdChg2">#REF!</definedName>
    <definedName name="GENECHG1" localSheetId="21">#REF!</definedName>
    <definedName name="GENECHG1">#REF!</definedName>
    <definedName name="GENECHGB1" localSheetId="21">#REF!</definedName>
    <definedName name="GENECHGB1">#REF!</definedName>
    <definedName name="GENECHGB2" localSheetId="21">#REF!</definedName>
    <definedName name="GENECHGB2">#REF!</definedName>
    <definedName name="GENECHGB3" localSheetId="21">#REF!</definedName>
    <definedName name="GENECHGB3">#REF!</definedName>
    <definedName name="GenMEChg" localSheetId="21">#REF!</definedName>
    <definedName name="GenMEChg">#REF!</definedName>
    <definedName name="GENMECHG1" localSheetId="21">#REF!</definedName>
    <definedName name="GENMECHG1">#REF!</definedName>
    <definedName name="GENMINDC" localSheetId="21">#REF!</definedName>
    <definedName name="GENMINDC">#REF!</definedName>
    <definedName name="GenMinDChg" localSheetId="21">#REF!</definedName>
    <definedName name="GenMinDChg">#REF!</definedName>
    <definedName name="GENMINEC" localSheetId="21">#REF!</definedName>
    <definedName name="GENMINEC">#REF!</definedName>
    <definedName name="GenMinEChg" localSheetId="21">#REF!</definedName>
    <definedName name="GenMinEChg">#REF!</definedName>
    <definedName name="GenOffPkKwh" localSheetId="21">#REF!</definedName>
    <definedName name="GenOffPkKwh">#REF!</definedName>
    <definedName name="GENOFKWH" localSheetId="21">#REF!</definedName>
    <definedName name="GENOFKWH">#REF!</definedName>
    <definedName name="GenOnPkKwh" localSheetId="21">#REF!</definedName>
    <definedName name="GenOnPkKwh">#REF!</definedName>
    <definedName name="GENOPKWH" localSheetId="21">#REF!</definedName>
    <definedName name="GENOPKWH">#REF!</definedName>
    <definedName name="GENP1EC" localSheetId="21">#REF!</definedName>
    <definedName name="GENP1EC">#REF!</definedName>
    <definedName name="GENP2EC" localSheetId="21">#REF!</definedName>
    <definedName name="GENP2EC">#REF!</definedName>
    <definedName name="GENP3EC" localSheetId="21">#REF!</definedName>
    <definedName name="GENP3EC">#REF!</definedName>
    <definedName name="GENP4EC" localSheetId="21">#REF!</definedName>
    <definedName name="GENP4EC">#REF!</definedName>
    <definedName name="GENP5EC" localSheetId="21">#REF!</definedName>
    <definedName name="GENP5EC">#REF!</definedName>
    <definedName name="GenPL1Chg" localSheetId="21">#REF!</definedName>
    <definedName name="GenPL1Chg">#REF!</definedName>
    <definedName name="GenPL2Chg" localSheetId="21">#REF!</definedName>
    <definedName name="GenPL2Chg">#REF!</definedName>
    <definedName name="GenPL3Chg" localSheetId="21">#REF!</definedName>
    <definedName name="GenPL3Chg">#REF!</definedName>
    <definedName name="GenPL4Chg" localSheetId="21">#REF!</definedName>
    <definedName name="GenPL4Chg">#REF!</definedName>
    <definedName name="GenPL5Chg" localSheetId="21">#REF!</definedName>
    <definedName name="GenPL5Chg">#REF!</definedName>
    <definedName name="GENRCHG" localSheetId="21">#REF!</definedName>
    <definedName name="GENRCHG">#REF!</definedName>
    <definedName name="GenReactiveChg" localSheetId="21">#REF!</definedName>
    <definedName name="GenReactiveChg">#REF!</definedName>
    <definedName name="GENXOFKVA" localSheetId="21">#REF!</definedName>
    <definedName name="GENXOFKVA">#REF!</definedName>
    <definedName name="GENXOFKW" localSheetId="21">#REF!</definedName>
    <definedName name="GENXOFKW">#REF!</definedName>
    <definedName name="GenXOfpKvaChg" localSheetId="21">#REF!</definedName>
    <definedName name="GenXOfpKvaChg">#REF!</definedName>
    <definedName name="GenXOfpKwChg" localSheetId="21">#REF!</definedName>
    <definedName name="GenXOfpKwChg">#REF!</definedName>
    <definedName name="GIRPCCHG" localSheetId="21">#REF!</definedName>
    <definedName name="GIRPCCHG">#REF!</definedName>
    <definedName name="GIRPDCHG1" localSheetId="21">#REF!</definedName>
    <definedName name="GIRPDCHG1">#REF!</definedName>
    <definedName name="GIRPDCHG2" localSheetId="21">#REF!</definedName>
    <definedName name="GIRPDCHG2">#REF!</definedName>
    <definedName name="GIRPECHG1" localSheetId="21">#REF!</definedName>
    <definedName name="GIRPECHG1">#REF!</definedName>
    <definedName name="GIRPECHGB1" localSheetId="21">#REF!</definedName>
    <definedName name="GIRPECHGB1">#REF!</definedName>
    <definedName name="GIRPECHGB2" localSheetId="21">#REF!</definedName>
    <definedName name="GIRPECHGB2">#REF!</definedName>
    <definedName name="GIRPECHGB3" localSheetId="21">#REF!</definedName>
    <definedName name="GIRPECHGB3">#REF!</definedName>
    <definedName name="GIRPMECHG1" localSheetId="21">#REF!</definedName>
    <definedName name="GIRPMECHG1">#REF!</definedName>
    <definedName name="GIRPMINDC" localSheetId="21">#REF!</definedName>
    <definedName name="GIRPMINDC">#REF!</definedName>
    <definedName name="GIRPMINEC" localSheetId="21">#REF!</definedName>
    <definedName name="GIRPMINEC">#REF!</definedName>
    <definedName name="GIRPOFKVA" localSheetId="21">#REF!</definedName>
    <definedName name="GIRPOFKVA">#REF!</definedName>
    <definedName name="GIRPOFKW" localSheetId="21">#REF!</definedName>
    <definedName name="GIRPOFKW">#REF!</definedName>
    <definedName name="GIRPOFKWH" localSheetId="21">#REF!</definedName>
    <definedName name="GIRPOFKWH">#REF!</definedName>
    <definedName name="GIRPOPKWH" localSheetId="21">#REF!</definedName>
    <definedName name="GIRPOPKWH">#REF!</definedName>
    <definedName name="GIRPP1EC" localSheetId="21">#REF!</definedName>
    <definedName name="GIRPP1EC">#REF!</definedName>
    <definedName name="GIRPP2EC" localSheetId="21">#REF!</definedName>
    <definedName name="GIRPP2EC">#REF!</definedName>
    <definedName name="GIRPP3EC" localSheetId="21">#REF!</definedName>
    <definedName name="GIRPP3EC">#REF!</definedName>
    <definedName name="GIRPP4EC" localSheetId="21">#REF!</definedName>
    <definedName name="GIRPP4EC">#REF!</definedName>
    <definedName name="GIRPP5EC" localSheetId="21">#REF!</definedName>
    <definedName name="GIRPP5EC">#REF!</definedName>
    <definedName name="GIRPRCHG" localSheetId="21">#REF!</definedName>
    <definedName name="GIRPRCHG">#REF!</definedName>
    <definedName name="HIPREKW" localSheetId="21">#REF!</definedName>
    <definedName name="HIPREKW">#REF!</definedName>
    <definedName name="HRCRDKW" localSheetId="21">#REF!</definedName>
    <definedName name="HRCRDKW">#REF!</definedName>
    <definedName name="HRCRDKWDT" localSheetId="21">#REF!</definedName>
    <definedName name="HRCRDKWDT">#REF!</definedName>
    <definedName name="HRCRDKWTM" localSheetId="21">#REF!</definedName>
    <definedName name="HRCRDKWTM">#REF!</definedName>
    <definedName name="HROFPKDT" localSheetId="21">#REF!</definedName>
    <definedName name="HROFPKDT">#REF!</definedName>
    <definedName name="HROFPKKW" localSheetId="21">#REF!</definedName>
    <definedName name="HROFPKKW">#REF!</definedName>
    <definedName name="HROFPKTM" localSheetId="21">#REF!</definedName>
    <definedName name="HROFPKTM">#REF!</definedName>
    <definedName name="HRONPKDT" localSheetId="21">#REF!</definedName>
    <definedName name="HRONPKDT">#REF!</definedName>
    <definedName name="HRONPKKW" localSheetId="21">#REF!</definedName>
    <definedName name="HRONPKKW">#REF!</definedName>
    <definedName name="HRONPKTM" localSheetId="21">#REF!</definedName>
    <definedName name="HRONPKTM">#REF!</definedName>
    <definedName name="IM_Allocators" localSheetId="20">#REF!</definedName>
    <definedName name="IM_Allocators" localSheetId="1">#REF!</definedName>
    <definedName name="IM_Allocators" localSheetId="13">#REF!</definedName>
    <definedName name="IM_Allocators" localSheetId="18">#REF!</definedName>
    <definedName name="IM_Allocators" localSheetId="21">#REF!</definedName>
    <definedName name="IM_Allocators" localSheetId="24">TCOS!#REF!</definedName>
    <definedName name="IM_Allocators" localSheetId="6">#REF!</definedName>
    <definedName name="IM_Allocators">TCOS!#REF!</definedName>
    <definedName name="IMCO" localSheetId="21">#REF!</definedName>
    <definedName name="IMCO" localSheetId="6">#REF!</definedName>
    <definedName name="IMCO">#REF!</definedName>
    <definedName name="InterruptCapacity" localSheetId="21">#REF!</definedName>
    <definedName name="InterruptCapacity" localSheetId="6">#REF!</definedName>
    <definedName name="InterruptCapacity">#REF!</definedName>
    <definedName name="InterruptOfpCapacity" localSheetId="21">#REF!</definedName>
    <definedName name="InterruptOfpCapacity" localSheetId="6">#REF!</definedName>
    <definedName name="InterruptOfpCapacity">#REF!</definedName>
    <definedName name="InterruptType" localSheetId="21">#REF!</definedName>
    <definedName name="InterruptType">#REF!</definedName>
    <definedName name="INTRPBLCAP" localSheetId="21">#REF!</definedName>
    <definedName name="INTRPBLCAP">#REF!</definedName>
    <definedName name="Invdetails" localSheetId="21">#REF!</definedName>
    <definedName name="Invdetails">#REF!</definedName>
    <definedName name="KWCHG" localSheetId="21">#REF!</definedName>
    <definedName name="KWCHG">#REF!</definedName>
    <definedName name="KWH1NOCMM" localSheetId="21">#REF!</definedName>
    <definedName name="KWH1NOCMM">#REF!</definedName>
    <definedName name="KWH3NOCMM" localSheetId="21">#REF!</definedName>
    <definedName name="KWH3NOCMM">#REF!</definedName>
    <definedName name="KWHCHG" localSheetId="21">#REF!</definedName>
    <definedName name="KWHCHG">#REF!</definedName>
    <definedName name="LASTDAY" localSheetId="21">#REF!</definedName>
    <definedName name="LASTDAY">#REF!</definedName>
    <definedName name="LASTFUEL" localSheetId="21">#REF!</definedName>
    <definedName name="LASTFUEL">#REF!</definedName>
    <definedName name="LASTMSRR" localSheetId="21">#REF!</definedName>
    <definedName name="LASTMSRR">#REF!</definedName>
    <definedName name="LASTPFCC" localSheetId="21">#REF!</definedName>
    <definedName name="LASTPFCC">#REF!</definedName>
    <definedName name="LDFCTR" localSheetId="21">#REF!</definedName>
    <definedName name="LDFCTR">#REF!</definedName>
    <definedName name="LRCREDIT" localSheetId="21">#REF!</definedName>
    <definedName name="LRCREDIT">#REF!</definedName>
    <definedName name="M_A" localSheetId="20">#REF!</definedName>
    <definedName name="M_A" localSheetId="1">#REF!</definedName>
    <definedName name="M_A" localSheetId="13">#REF!</definedName>
    <definedName name="M_A" localSheetId="18">#REF!</definedName>
    <definedName name="M_A" localSheetId="21">#REF!</definedName>
    <definedName name="M_A" localSheetId="24">'WS I RESERVED'!#REF!</definedName>
    <definedName name="M_A" localSheetId="6">#REF!</definedName>
    <definedName name="M_A">'WS I RESERVED'!#REF!</definedName>
    <definedName name="MACC1" localSheetId="21">#REF!</definedName>
    <definedName name="MACC1" localSheetId="6">#REF!</definedName>
    <definedName name="MACC1">#REF!</definedName>
    <definedName name="MACC2" localSheetId="21">#REF!</definedName>
    <definedName name="MACC2" localSheetId="6">#REF!</definedName>
    <definedName name="MACC2">#REF!</definedName>
    <definedName name="MAINTHRSCRMO" localSheetId="21">#REF!</definedName>
    <definedName name="MAINTHRSCRMO" localSheetId="6">#REF!</definedName>
    <definedName name="MAINTHRSCRMO">#REF!</definedName>
    <definedName name="MAINTKWH" localSheetId="21">#REF!</definedName>
    <definedName name="MAINTKWH">#REF!</definedName>
    <definedName name="MinBillDem" localSheetId="21">#REF!</definedName>
    <definedName name="MinBillDem">#REF!</definedName>
    <definedName name="MinBillDem2" localSheetId="21">#REF!</definedName>
    <definedName name="MinBillDem2">#REF!</definedName>
    <definedName name="MinBillDmd" localSheetId="21">#REF!</definedName>
    <definedName name="MinBillDmd">#REF!</definedName>
    <definedName name="MSRRBLD" localSheetId="21">#REF!</definedName>
    <definedName name="MSRRBLD">#REF!</definedName>
    <definedName name="MSRRCHG" localSheetId="21">#REF!</definedName>
    <definedName name="MSRRCHG">#REF!</definedName>
    <definedName name="MTRMLTPLR1" localSheetId="21">#REF!</definedName>
    <definedName name="MTRMLTPLR1">#REF!</definedName>
    <definedName name="MTRMLTPLR2" localSheetId="21">#REF!</definedName>
    <definedName name="MTRMLTPLR2">#REF!</definedName>
    <definedName name="NETMRGCHG" localSheetId="21">#REF!</definedName>
    <definedName name="NETMRGCHG">#REF!</definedName>
    <definedName name="NODAYSINPRD" localSheetId="21">#REF!</definedName>
    <definedName name="NODAYSINPRD">#REF!</definedName>
    <definedName name="NODELPOINTS" localSheetId="21">#REF!</definedName>
    <definedName name="NODELPOINTS">#REF!</definedName>
    <definedName name="NP_h" localSheetId="20">#REF!</definedName>
    <definedName name="NP_h" localSheetId="1">#REF!</definedName>
    <definedName name="NP_h" localSheetId="13">#REF!</definedName>
    <definedName name="NP_h" localSheetId="18">#REF!</definedName>
    <definedName name="NP_h" localSheetId="21">#REF!</definedName>
    <definedName name="NP_h" localSheetId="6">#REF!</definedName>
    <definedName name="NP_h">TCOS!$J$87</definedName>
    <definedName name="NP_h1" localSheetId="21">#REF!</definedName>
    <definedName name="NP_h1" localSheetId="6">#REF!</definedName>
    <definedName name="NP_h1">#REF!</definedName>
    <definedName name="NPh" localSheetId="13">#REF!</definedName>
    <definedName name="NPh">TCOS!$J$87</definedName>
    <definedName name="NvsASD">"V2006-12-31"</definedName>
    <definedName name="NvsAutoDrillOk">"VN"</definedName>
    <definedName name="NvsElapsedTime" localSheetId="21">0.000231481484661344</definedName>
    <definedName name="NvsElapsedTime">0.000231481484661344</definedName>
    <definedName name="NvsEndTime" localSheetId="21">39091.5909490741</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21">#REF!</definedName>
    <definedName name="OFPCBLKW" localSheetId="6">#REF!</definedName>
    <definedName name="OFPCBLKW">#REF!</definedName>
    <definedName name="OFPKBILLKWH" localSheetId="21">#REF!</definedName>
    <definedName name="OFPKBILLKWH" localSheetId="6">#REF!</definedName>
    <definedName name="OFPKBILLKWH">#REF!</definedName>
    <definedName name="OFPKCGNKWH" localSheetId="21">#REF!</definedName>
    <definedName name="OFPKCGNKWH" localSheetId="6">#REF!</definedName>
    <definedName name="OFPKCGNKWH">#REF!</definedName>
    <definedName name="OFPKCNTRCTCPCT" localSheetId="21">#REF!</definedName>
    <definedName name="OFPKCNTRCTCPCT">#REF!</definedName>
    <definedName name="OFPKDMPKWH" localSheetId="21">#REF!</definedName>
    <definedName name="OFPKDMPKWH">#REF!</definedName>
    <definedName name="OFPKDSCRKWH" localSheetId="21">#REF!</definedName>
    <definedName name="OFPKDSCRKWH">#REF!</definedName>
    <definedName name="OFPKDT" localSheetId="21">#REF!</definedName>
    <definedName name="OFPKDT">#REF!</definedName>
    <definedName name="OFPKEXCSKW" localSheetId="21">#REF!</definedName>
    <definedName name="OFPKEXCSKW">#REF!</definedName>
    <definedName name="OFPKINCRKWH" localSheetId="21">#REF!</definedName>
    <definedName name="OFPKINCRKWH">#REF!</definedName>
    <definedName name="OFPKKVADT" localSheetId="21">#REF!</definedName>
    <definedName name="OFPKKVADT">#REF!</definedName>
    <definedName name="OFPKKVATM" localSheetId="21">#REF!</definedName>
    <definedName name="OFPKKVATM">#REF!</definedName>
    <definedName name="OFPKKVW" localSheetId="21">#REF!</definedName>
    <definedName name="OFPKKVW">#REF!</definedName>
    <definedName name="OFPKKW" localSheetId="21">#REF!</definedName>
    <definedName name="OFPKKW">#REF!</definedName>
    <definedName name="OFPKKWH1NOCMM" localSheetId="21">#REF!</definedName>
    <definedName name="OFPKKWH1NOCMM">#REF!</definedName>
    <definedName name="OFPKKWH3NOCMM" localSheetId="21">#REF!</definedName>
    <definedName name="OFPKKWH3NOCMM">#REF!</definedName>
    <definedName name="OFPKRCRDKWH" localSheetId="21">#REF!</definedName>
    <definedName name="OFPKRCRDKWH">#REF!</definedName>
    <definedName name="OFPKTM" localSheetId="21">#REF!</definedName>
    <definedName name="OFPKTM">#REF!</definedName>
    <definedName name="OFPXCSKW" localSheetId="21">#REF!</definedName>
    <definedName name="OFPXCSKW">#REF!</definedName>
    <definedName name="OFPXCSKWDT" localSheetId="21">#REF!</definedName>
    <definedName name="OFPXCSKWDT">#REF!</definedName>
    <definedName name="OFPXCSKWH" localSheetId="21">#REF!</definedName>
    <definedName name="OFPXCSKWH">#REF!</definedName>
    <definedName name="OFPXCSKWTM" localSheetId="21">#REF!</definedName>
    <definedName name="OFPXCSKWTM">#REF!</definedName>
    <definedName name="ONPKBILLKWH" localSheetId="21">#REF!</definedName>
    <definedName name="ONPKBILLKWH">#REF!</definedName>
    <definedName name="ONPKCAPB" localSheetId="21">#REF!</definedName>
    <definedName name="ONPKCAPB">#REF!</definedName>
    <definedName name="ONPKCGNKWH" localSheetId="21">#REF!</definedName>
    <definedName name="ONPKCGNKWH">#REF!</definedName>
    <definedName name="ONPKCNTRCTCPCT" localSheetId="21">#REF!</definedName>
    <definedName name="ONPKCNTRCTCPCT">#REF!</definedName>
    <definedName name="ONPKDMPKWH" localSheetId="21">#REF!</definedName>
    <definedName name="ONPKDMPKWH">#REF!</definedName>
    <definedName name="ONPKDSCRKWH" localSheetId="21">#REF!</definedName>
    <definedName name="ONPKDSCRKWH">#REF!</definedName>
    <definedName name="ONPKDT" localSheetId="21">#REF!</definedName>
    <definedName name="ONPKDT">#REF!</definedName>
    <definedName name="ONPKINCRKWH" localSheetId="21">#REF!</definedName>
    <definedName name="ONPKINCRKWH">#REF!</definedName>
    <definedName name="ONPKKVA" localSheetId="21">#REF!</definedName>
    <definedName name="ONPKKVA">#REF!</definedName>
    <definedName name="ONPKKVADT" localSheetId="21">#REF!</definedName>
    <definedName name="ONPKKVADT">#REF!</definedName>
    <definedName name="ONPKKVATM" localSheetId="21">#REF!</definedName>
    <definedName name="ONPKKVATM">#REF!</definedName>
    <definedName name="ONPKKW" localSheetId="21">#REF!</definedName>
    <definedName name="ONPKKW">#REF!</definedName>
    <definedName name="ONPKKWH1NOCMM" localSheetId="21">#REF!</definedName>
    <definedName name="ONPKKWH1NOCMM">#REF!</definedName>
    <definedName name="ONPKKWH3NOCMM" localSheetId="21">#REF!</definedName>
    <definedName name="ONPKKWH3NOCMM">#REF!</definedName>
    <definedName name="ONPKRCRDKWH" localSheetId="21">#REF!</definedName>
    <definedName name="ONPKRCRDKWH">#REF!</definedName>
    <definedName name="ONPKTM" localSheetId="21">#REF!</definedName>
    <definedName name="ONPKTM">#REF!</definedName>
    <definedName name="OPCBLKW" localSheetId="21">#REF!</definedName>
    <definedName name="OPCBLKW">#REF!</definedName>
    <definedName name="OPCO" localSheetId="21">#REF!</definedName>
    <definedName name="OPCO">#REF!</definedName>
    <definedName name="OPXCSKW" localSheetId="21">#REF!</definedName>
    <definedName name="OPXCSKW">#REF!</definedName>
    <definedName name="OPXCSKWDT" localSheetId="21">#REF!</definedName>
    <definedName name="OPXCSKWDT">#REF!</definedName>
    <definedName name="OPXCSKWH" localSheetId="21">#REF!</definedName>
    <definedName name="OPXCSKWH">#REF!</definedName>
    <definedName name="OPXCSKWTM" localSheetId="21">#REF!</definedName>
    <definedName name="OPXCSKWTM">#REF!</definedName>
    <definedName name="OTHRTRNSKWH" localSheetId="21">#REF!</definedName>
    <definedName name="OTHRTRNSKWH">#REF!</definedName>
    <definedName name="P1PENPERC" localSheetId="21">#REF!</definedName>
    <definedName name="P1PENPERC">#REF!</definedName>
    <definedName name="P2PENPERC" localSheetId="21">#REF!</definedName>
    <definedName name="P2PENPERC">#REF!</definedName>
    <definedName name="PeakDemandChg" localSheetId="21">#REF!</definedName>
    <definedName name="PeakDemandChg">#REF!</definedName>
    <definedName name="PenaltyDays" localSheetId="21">#REF!</definedName>
    <definedName name="PenaltyDays">#REF!</definedName>
    <definedName name="PenaltyPct" localSheetId="21">#REF!</definedName>
    <definedName name="PenaltyPct">#REF!</definedName>
    <definedName name="PENDAYS" localSheetId="21">#REF!</definedName>
    <definedName name="PENDAYS">#REF!</definedName>
    <definedName name="PENDAYS2" localSheetId="21">#REF!</definedName>
    <definedName name="PENDAYS2">#REF!</definedName>
    <definedName name="PFCC" localSheetId="21">#REF!</definedName>
    <definedName name="PFCC">#REF!</definedName>
    <definedName name="PKKVAR" localSheetId="21">#REF!</definedName>
    <definedName name="PKKVAR">#REF!</definedName>
    <definedName name="PKKVARDATE" localSheetId="21">#REF!</definedName>
    <definedName name="PKKVARDATE">#REF!</definedName>
    <definedName name="PKKVARTIME" localSheetId="21">#REF!</definedName>
    <definedName name="PKKVARTIME">#REF!</definedName>
    <definedName name="PLVLKWH1" localSheetId="21">#REF!</definedName>
    <definedName name="PLVLKWH1">#REF!</definedName>
    <definedName name="PLVLKWH1A" localSheetId="21">#REF!</definedName>
    <definedName name="PLVLKWH1A">#REF!</definedName>
    <definedName name="PLVLKWH2" localSheetId="21">#REF!</definedName>
    <definedName name="PLVLKWH2">#REF!</definedName>
    <definedName name="PLVLKWH23A" localSheetId="21">#REF!</definedName>
    <definedName name="PLVLKWH23A">#REF!</definedName>
    <definedName name="PLVLKWH25" localSheetId="21">#REF!</definedName>
    <definedName name="PLVLKWH25">#REF!</definedName>
    <definedName name="PLVLKWH2A" localSheetId="21">#REF!</definedName>
    <definedName name="PLVLKWH2A">#REF!</definedName>
    <definedName name="PLVLKWH3" localSheetId="21">#REF!</definedName>
    <definedName name="PLVLKWH3">#REF!</definedName>
    <definedName name="PLVLKWH3A" localSheetId="21">#REF!</definedName>
    <definedName name="PLVLKWH3A">#REF!</definedName>
    <definedName name="PLVLKWH4" localSheetId="21">#REF!</definedName>
    <definedName name="PLVLKWH4">#REF!</definedName>
    <definedName name="PLVLKWH4A" localSheetId="21">#REF!</definedName>
    <definedName name="PLVLKWH4A">#REF!</definedName>
    <definedName name="PRICEDESIG" localSheetId="21">#REF!</definedName>
    <definedName name="PRICEDESIG">#REF!</definedName>
    <definedName name="PriMoAddr1" localSheetId="21">#REF!</definedName>
    <definedName name="PriMoAddr1">#REF!</definedName>
    <definedName name="PriMoAddr2" localSheetId="21">#REF!</definedName>
    <definedName name="PriMoAddr2">#REF!</definedName>
    <definedName name="PriMoBTDetail" localSheetId="21">#REF!</definedName>
    <definedName name="PriMoBTDetail">#REF!</definedName>
    <definedName name="PriMoBuyThrgh_Sheet" localSheetId="21">#REF!</definedName>
    <definedName name="PriMoBuyThrgh_Sheet">#REF!</definedName>
    <definedName name="PriMoCityStZip" localSheetId="21">#REF!</definedName>
    <definedName name="PriMoCityStZip">#REF!</definedName>
    <definedName name="PriMoCustName" localSheetId="21">#REF!</definedName>
    <definedName name="PriMoCustName">#REF!</definedName>
    <definedName name="PriMoMtrMult" localSheetId="21">#REF!</definedName>
    <definedName name="PriMoMtrMult">#REF!</definedName>
    <definedName name="_xlnm.Print_Area" localSheetId="0">TCOS!$A$1:$L$390</definedName>
    <definedName name="_xlnm.Print_Area" localSheetId="20">'Worksheet O'!$A$1:$D$37</definedName>
    <definedName name="_xlnm.Print_Area" localSheetId="2">'WS B ADIT &amp; ITC'!$A$3:$I$56</definedName>
    <definedName name="_xlnm.Print_Area" localSheetId="8">'WS D IPP Credits'!$A$3:$E$28</definedName>
    <definedName name="_xlnm.Print_Area" localSheetId="9">'WS E Rev Credits'!$A$3:$K$38</definedName>
    <definedName name="_xlnm.Print_Area" localSheetId="10">'WS F Misc Exp'!$A$3:$G$73</definedName>
    <definedName name="_xlnm.Print_Area" localSheetId="11">'WS G  State Tax Rate'!$A$3:$H$34</definedName>
    <definedName name="_xlnm.Print_Area" localSheetId="12">'WS H-p1 Other Taxes'!$A$3:$M$71</definedName>
    <definedName name="_xlnm.Print_Area" localSheetId="13">'WS H-p2 Detail of Tax Amts'!$A$1:$I$112</definedName>
    <definedName name="_xlnm.Print_Area" localSheetId="14">'WS I RESERVED'!$A$3:$J$6</definedName>
    <definedName name="_xlnm.Print_Area" localSheetId="15">'WS J PROJECTED RTEP RR'!$A$1:$O$170</definedName>
    <definedName name="_xlnm.Print_Area" localSheetId="16">'WS K TRUE-UP RTEP RR'!$A$3:$P$166</definedName>
    <definedName name="_xlnm.Print_Area" localSheetId="17">'WS L RESERVED'!$A$3:$F$9</definedName>
    <definedName name="_xlnm.Print_Area" localSheetId="19">'WS N - Sale of Plant Held'!$A$3:$U$35</definedName>
    <definedName name="_xlnm.Print_Area" localSheetId="21">#REF!</definedName>
    <definedName name="_xlnm.Print_Area" localSheetId="22">'WS Q Cap Structure'!$A$1:$J$237</definedName>
    <definedName name="_xlnm.Print_Area" localSheetId="23">'WS R Interest'!$A$1:$L$61</definedName>
    <definedName name="_xlnm.Print_Area" localSheetId="24">'WS R Schedule 1A'!$A$1:$L$61</definedName>
    <definedName name="_xlnm.Print_Area" localSheetId="6">#REF!</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Rates'!$5:$11</definedName>
    <definedName name="PRVCNT" localSheetId="21">#REF!</definedName>
    <definedName name="PRVCNT" localSheetId="6">#REF!</definedName>
    <definedName name="PRVCNT">#REF!</definedName>
    <definedName name="PRVDATE" localSheetId="21">#REF!</definedName>
    <definedName name="PRVDATE" localSheetId="6">#REF!</definedName>
    <definedName name="PRVDATE">#REF!</definedName>
    <definedName name="PRVFUEL" localSheetId="21">#REF!</definedName>
    <definedName name="PRVFUEL" localSheetId="6">#REF!</definedName>
    <definedName name="PRVFUEL">#REF!</definedName>
    <definedName name="PRVKW" localSheetId="21">#REF!</definedName>
    <definedName name="PRVKW">#REF!</definedName>
    <definedName name="PRVKWH" localSheetId="21">#REF!</definedName>
    <definedName name="PRVKWH">#REF!</definedName>
    <definedName name="PRVMSRR" localSheetId="21">#REF!</definedName>
    <definedName name="PRVMSRR">#REF!</definedName>
    <definedName name="PRVPFCC" localSheetId="21">#REF!</definedName>
    <definedName name="PRVPFCC">#REF!</definedName>
    <definedName name="PSO_Proj_Allocators" localSheetId="13">#REF!</definedName>
    <definedName name="PSO_Proj_Allocators" localSheetId="21">#REF!</definedName>
    <definedName name="PSO_Proj_Allocators">#REF!</definedName>
    <definedName name="PSOallocatorsP" localSheetId="21">#REF!</definedName>
    <definedName name="PSOallocatorsP">#REF!</definedName>
    <definedName name="PVHIOFPCBL" localSheetId="21">#REF!</definedName>
    <definedName name="PVHIOFPCBL">#REF!</definedName>
    <definedName name="PVHIOPCBL" localSheetId="21">#REF!</definedName>
    <definedName name="PVHIOPCBL">#REF!</definedName>
    <definedName name="RatchetFactor" localSheetId="21">#REF!</definedName>
    <definedName name="RatchetFactor">#REF!</definedName>
    <definedName name="RCRDRID" localSheetId="21">#REF!</definedName>
    <definedName name="RCRDRID">#REF!</definedName>
    <definedName name="RCTVHRS" localSheetId="21">#REF!</definedName>
    <definedName name="RCTVHRS">#REF!</definedName>
    <definedName name="RDRBLK1C" localSheetId="21">#REF!</definedName>
    <definedName name="RDRBLK1C">#REF!</definedName>
    <definedName name="RDRBLK1Q" localSheetId="21">#REF!</definedName>
    <definedName name="RDRBLK1Q">#REF!</definedName>
    <definedName name="RDRBLK2C" localSheetId="21">#REF!</definedName>
    <definedName name="RDRBLK2C">#REF!</definedName>
    <definedName name="RDRBLK2Q" localSheetId="21">#REF!</definedName>
    <definedName name="RDRBLK2Q">#REF!</definedName>
    <definedName name="RDRBLK3C" localSheetId="21">#REF!</definedName>
    <definedName name="RDRBLK3C">#REF!</definedName>
    <definedName name="RDRBLK3Q" localSheetId="21">#REF!</definedName>
    <definedName name="RDRBLK3Q">#REF!</definedName>
    <definedName name="RDRBLKTC" localSheetId="21">#REF!</definedName>
    <definedName name="RDRBLKTC">#REF!</definedName>
    <definedName name="RDRBLKTC1" localSheetId="21">#REF!</definedName>
    <definedName name="RDRBLKTC1">#REF!</definedName>
    <definedName name="RDRBLKTC10" localSheetId="21">#REF!</definedName>
    <definedName name="RDRBLKTC10">#REF!</definedName>
    <definedName name="RDRBLKTC11" localSheetId="21">#REF!</definedName>
    <definedName name="RDRBLKTC11">#REF!</definedName>
    <definedName name="RDRBLKTC12" localSheetId="21">#REF!</definedName>
    <definedName name="RDRBLKTC12">#REF!</definedName>
    <definedName name="RDRBLKTC13" localSheetId="21">#REF!</definedName>
    <definedName name="RDRBLKTC13">#REF!</definedName>
    <definedName name="RDRBLKTC14" localSheetId="21">#REF!</definedName>
    <definedName name="RDRBLKTC14">#REF!</definedName>
    <definedName name="RDRBLKTC15" localSheetId="21">#REF!</definedName>
    <definedName name="RDRBLKTC15">#REF!</definedName>
    <definedName name="RDRBLKTC16" localSheetId="21">#REF!</definedName>
    <definedName name="RDRBLKTC16">#REF!</definedName>
    <definedName name="RDRBLKTC17" localSheetId="21">#REF!</definedName>
    <definedName name="RDRBLKTC17">#REF!</definedName>
    <definedName name="RDRBLKTC18" localSheetId="21">#REF!</definedName>
    <definedName name="RDRBLKTC18">#REF!</definedName>
    <definedName name="RDRBLKTC19" localSheetId="21">#REF!</definedName>
    <definedName name="RDRBLKTC19">#REF!</definedName>
    <definedName name="RDRBLKTC2" localSheetId="21">#REF!</definedName>
    <definedName name="RDRBLKTC2">#REF!</definedName>
    <definedName name="RDRBLKTC20" localSheetId="21">#REF!</definedName>
    <definedName name="RDRBLKTC20">#REF!</definedName>
    <definedName name="RDRBLKTC3" localSheetId="21">#REF!</definedName>
    <definedName name="RDRBLKTC3">#REF!</definedName>
    <definedName name="RDRBLKTC4" localSheetId="21">#REF!</definedName>
    <definedName name="RDRBLKTC4">#REF!</definedName>
    <definedName name="RDRBLKTC5" localSheetId="21">#REF!</definedName>
    <definedName name="RDRBLKTC5">#REF!</definedName>
    <definedName name="RDRBLKTC6" localSheetId="21">#REF!</definedName>
    <definedName name="RDRBLKTC6">#REF!</definedName>
    <definedName name="RDRBLKTC7" localSheetId="21">#REF!</definedName>
    <definedName name="RDRBLKTC7">#REF!</definedName>
    <definedName name="RDRBLKTC8" localSheetId="21">#REF!</definedName>
    <definedName name="RDRBLKTC8">#REF!</definedName>
    <definedName name="RDRBLKTC9" localSheetId="21">#REF!</definedName>
    <definedName name="RDRBLKTC9">#REF!</definedName>
    <definedName name="RDRBLKTQ" localSheetId="21">#REF!</definedName>
    <definedName name="RDRBLKTQ">#REF!</definedName>
    <definedName name="RDRCODE" localSheetId="21">#REF!</definedName>
    <definedName name="RDRCODE">#REF!</definedName>
    <definedName name="RDRCYCLE" localSheetId="21">#REF!</definedName>
    <definedName name="RDRCYCLE">#REF!</definedName>
    <definedName name="RDRDATE" localSheetId="21">#REF!</definedName>
    <definedName name="RDRDATE">#REF!</definedName>
    <definedName name="RDRNAME" localSheetId="21">#REF!</definedName>
    <definedName name="RDRNAME">#REF!</definedName>
    <definedName name="RDRRATEB" localSheetId="21">#REF!</definedName>
    <definedName name="RDRRATEB">#REF!</definedName>
    <definedName name="RDRRATEB1" localSheetId="21">#REF!</definedName>
    <definedName name="RDRRATEB1">#REF!</definedName>
    <definedName name="RDRRATEB10" localSheetId="21">#REF!</definedName>
    <definedName name="RDRRATEB10">#REF!</definedName>
    <definedName name="RDRRATEB11" localSheetId="21">#REF!</definedName>
    <definedName name="RDRRATEB11">#REF!</definedName>
    <definedName name="RDRRATEB12" localSheetId="21">#REF!</definedName>
    <definedName name="RDRRATEB12">#REF!</definedName>
    <definedName name="RDRRATEB13" localSheetId="21">#REF!</definedName>
    <definedName name="RDRRATEB13">#REF!</definedName>
    <definedName name="RDRRATEB14" localSheetId="21">#REF!</definedName>
    <definedName name="RDRRATEB14">#REF!</definedName>
    <definedName name="RDRRATEB15" localSheetId="21">#REF!</definedName>
    <definedName name="RDRRATEB15">#REF!</definedName>
    <definedName name="RDRRATEB16" localSheetId="21">#REF!</definedName>
    <definedName name="RDRRATEB16">#REF!</definedName>
    <definedName name="RDRRATEB17" localSheetId="21">#REF!</definedName>
    <definedName name="RDRRATEB17">#REF!</definedName>
    <definedName name="RDRRATEB18" localSheetId="21">#REF!</definedName>
    <definedName name="RDRRATEB18">#REF!</definedName>
    <definedName name="RDRRATEB19" localSheetId="21">#REF!</definedName>
    <definedName name="RDRRATEB19">#REF!</definedName>
    <definedName name="RDRRATEB2" localSheetId="21">#REF!</definedName>
    <definedName name="RDRRATEB2">#REF!</definedName>
    <definedName name="RDRRATEB20" localSheetId="21">#REF!</definedName>
    <definedName name="RDRRATEB20">#REF!</definedName>
    <definedName name="RDRRATEB3" localSheetId="21">#REF!</definedName>
    <definedName name="RDRRATEB3">#REF!</definedName>
    <definedName name="RDRRATEB4" localSheetId="21">#REF!</definedName>
    <definedName name="RDRRATEB4">#REF!</definedName>
    <definedName name="RDRRATEB5" localSheetId="21">#REF!</definedName>
    <definedName name="RDRRATEB5">#REF!</definedName>
    <definedName name="RDRRATEB6" localSheetId="21">#REF!</definedName>
    <definedName name="RDRRATEB6">#REF!</definedName>
    <definedName name="RDRRATEB7" localSheetId="21">#REF!</definedName>
    <definedName name="RDRRATEB7">#REF!</definedName>
    <definedName name="RDRRATEB8" localSheetId="21">#REF!</definedName>
    <definedName name="RDRRATEB8">#REF!</definedName>
    <definedName name="RDRRATEB9" localSheetId="21">#REF!</definedName>
    <definedName name="RDRRATEB9">#REF!</definedName>
    <definedName name="RDRRATED" localSheetId="21">#REF!</definedName>
    <definedName name="RDRRATED">#REF!</definedName>
    <definedName name="RDRRATED1" localSheetId="21">#REF!</definedName>
    <definedName name="RDRRATED1">#REF!</definedName>
    <definedName name="RDRRATED10" localSheetId="21">#REF!</definedName>
    <definedName name="RDRRATED10">#REF!</definedName>
    <definedName name="RDRRATED11" localSheetId="21">#REF!</definedName>
    <definedName name="RDRRATED11">#REF!</definedName>
    <definedName name="RDRRATED12" localSheetId="21">#REF!</definedName>
    <definedName name="RDRRATED12">#REF!</definedName>
    <definedName name="RDRRATED13" localSheetId="21">#REF!</definedName>
    <definedName name="RDRRATED13">#REF!</definedName>
    <definedName name="RDRRATED14" localSheetId="21">#REF!</definedName>
    <definedName name="RDRRATED14">#REF!</definedName>
    <definedName name="RDRRATED15" localSheetId="21">#REF!</definedName>
    <definedName name="RDRRATED15">#REF!</definedName>
    <definedName name="RDRRATED16" localSheetId="21">#REF!</definedName>
    <definedName name="RDRRATED16">#REF!</definedName>
    <definedName name="RDRRATED17" localSheetId="21">#REF!</definedName>
    <definedName name="RDRRATED17">#REF!</definedName>
    <definedName name="RDRRATED18" localSheetId="21">#REF!</definedName>
    <definedName name="RDRRATED18">#REF!</definedName>
    <definedName name="RDRRATED19" localSheetId="21">#REF!</definedName>
    <definedName name="RDRRATED19">#REF!</definedName>
    <definedName name="RDRRATED2" localSheetId="21">#REF!</definedName>
    <definedName name="RDRRATED2">#REF!</definedName>
    <definedName name="RDRRATED20" localSheetId="21">#REF!</definedName>
    <definedName name="RDRRATED20">#REF!</definedName>
    <definedName name="RDRRATED3" localSheetId="21">#REF!</definedName>
    <definedName name="RDRRATED3">#REF!</definedName>
    <definedName name="RDRRATED4" localSheetId="21">#REF!</definedName>
    <definedName name="RDRRATED4">#REF!</definedName>
    <definedName name="RDRRATED5" localSheetId="21">#REF!</definedName>
    <definedName name="RDRRATED5">#REF!</definedName>
    <definedName name="RDRRATED6" localSheetId="21">#REF!</definedName>
    <definedName name="RDRRATED6">#REF!</definedName>
    <definedName name="RDRRATED7" localSheetId="21">#REF!</definedName>
    <definedName name="RDRRATED7">#REF!</definedName>
    <definedName name="RDRRATED8" localSheetId="21">#REF!</definedName>
    <definedName name="RDRRATED8">#REF!</definedName>
    <definedName name="RDRRATED9" localSheetId="21">#REF!</definedName>
    <definedName name="RDRRATED9">#REF!</definedName>
    <definedName name="RDRRATEG" localSheetId="21">#REF!</definedName>
    <definedName name="RDRRATEG">#REF!</definedName>
    <definedName name="RDRRATEG1" localSheetId="21">#REF!</definedName>
    <definedName name="RDRRATEG1">#REF!</definedName>
    <definedName name="RDRRATEG10" localSheetId="21">#REF!</definedName>
    <definedName name="RDRRATEG10">#REF!</definedName>
    <definedName name="RDRRATEG11" localSheetId="21">#REF!</definedName>
    <definedName name="RDRRATEG11">#REF!</definedName>
    <definedName name="RDRRATEG12" localSheetId="21">#REF!</definedName>
    <definedName name="RDRRATEG12">#REF!</definedName>
    <definedName name="RDRRATEG13" localSheetId="21">#REF!</definedName>
    <definedName name="RDRRATEG13">#REF!</definedName>
    <definedName name="RDRRATEG14" localSheetId="21">#REF!</definedName>
    <definedName name="RDRRATEG14">#REF!</definedName>
    <definedName name="RDRRATEG15" localSheetId="21">#REF!</definedName>
    <definedName name="RDRRATEG15">#REF!</definedName>
    <definedName name="RDRRATEG16" localSheetId="21">#REF!</definedName>
    <definedName name="RDRRATEG16">#REF!</definedName>
    <definedName name="RDRRATEG17" localSheetId="21">#REF!</definedName>
    <definedName name="RDRRATEG17">#REF!</definedName>
    <definedName name="RDRRATEG18" localSheetId="21">#REF!</definedName>
    <definedName name="RDRRATEG18">#REF!</definedName>
    <definedName name="RDRRATEG19" localSheetId="21">#REF!</definedName>
    <definedName name="RDRRATEG19">#REF!</definedName>
    <definedName name="RDRRATEG2" localSheetId="21">#REF!</definedName>
    <definedName name="RDRRATEG2">#REF!</definedName>
    <definedName name="RDRRATEG20" localSheetId="21">#REF!</definedName>
    <definedName name="RDRRATEG20">#REF!</definedName>
    <definedName name="RDRRATEG3" localSheetId="21">#REF!</definedName>
    <definedName name="RDRRATEG3">#REF!</definedName>
    <definedName name="RDRRATEG4" localSheetId="21">#REF!</definedName>
    <definedName name="RDRRATEG4">#REF!</definedName>
    <definedName name="RDRRATEG5" localSheetId="21">#REF!</definedName>
    <definedName name="RDRRATEG5">#REF!</definedName>
    <definedName name="RDRRATEG6" localSheetId="21">#REF!</definedName>
    <definedName name="RDRRATEG6">#REF!</definedName>
    <definedName name="RDRRATEG7" localSheetId="21">#REF!</definedName>
    <definedName name="RDRRATEG7">#REF!</definedName>
    <definedName name="RDRRATEG8" localSheetId="21">#REF!</definedName>
    <definedName name="RDRRATEG8">#REF!</definedName>
    <definedName name="RDRRATEG9" localSheetId="21">#REF!</definedName>
    <definedName name="RDRRATEG9">#REF!</definedName>
    <definedName name="RDRRATET" localSheetId="21">#REF!</definedName>
    <definedName name="RDRRATET">#REF!</definedName>
    <definedName name="RDRRATET1" localSheetId="21">#REF!</definedName>
    <definedName name="RDRRATET1">#REF!</definedName>
    <definedName name="RDRRATET10" localSheetId="21">#REF!</definedName>
    <definedName name="RDRRATET10">#REF!</definedName>
    <definedName name="RDRRATET11" localSheetId="21">#REF!</definedName>
    <definedName name="RDRRATET11">#REF!</definedName>
    <definedName name="RDRRATET12" localSheetId="21">#REF!</definedName>
    <definedName name="RDRRATET12">#REF!</definedName>
    <definedName name="RDRRATET13" localSheetId="21">#REF!</definedName>
    <definedName name="RDRRATET13">#REF!</definedName>
    <definedName name="RDRRATET14" localSheetId="21">#REF!</definedName>
    <definedName name="RDRRATET14">#REF!</definedName>
    <definedName name="RDRRATET15" localSheetId="21">#REF!</definedName>
    <definedName name="RDRRATET15">#REF!</definedName>
    <definedName name="RDRRATET16" localSheetId="21">#REF!</definedName>
    <definedName name="RDRRATET16">#REF!</definedName>
    <definedName name="RDRRATET17" localSheetId="21">#REF!</definedName>
    <definedName name="RDRRATET17">#REF!</definedName>
    <definedName name="RDRRATET18" localSheetId="21">#REF!</definedName>
    <definedName name="RDRRATET18">#REF!</definedName>
    <definedName name="RDRRATET19" localSheetId="21">#REF!</definedName>
    <definedName name="RDRRATET19">#REF!</definedName>
    <definedName name="RDRRATET2" localSheetId="21">#REF!</definedName>
    <definedName name="RDRRATET2">#REF!</definedName>
    <definedName name="RDRRATET20" localSheetId="21">#REF!</definedName>
    <definedName name="RDRRATET20">#REF!</definedName>
    <definedName name="RDRRATET3" localSheetId="21">#REF!</definedName>
    <definedName name="RDRRATET3">#REF!</definedName>
    <definedName name="RDRRATET4" localSheetId="21">#REF!</definedName>
    <definedName name="RDRRATET4">#REF!</definedName>
    <definedName name="RDRRATET5" localSheetId="21">#REF!</definedName>
    <definedName name="RDRRATET5">#REF!</definedName>
    <definedName name="RDRRATET6" localSheetId="21">#REF!</definedName>
    <definedName name="RDRRATET6">#REF!</definedName>
    <definedName name="RDRRATET7" localSheetId="21">#REF!</definedName>
    <definedName name="RDRRATET7">#REF!</definedName>
    <definedName name="RDRRATET8" localSheetId="21">#REF!</definedName>
    <definedName name="RDRRATET8">#REF!</definedName>
    <definedName name="RDRRATET9" localSheetId="21">#REF!</definedName>
    <definedName name="RDRRATET9">#REF!</definedName>
    <definedName name="RDRTYPE" localSheetId="21">#REF!</definedName>
    <definedName name="RDRTYPE">#REF!</definedName>
    <definedName name="RDRUNITS" localSheetId="21">#REF!</definedName>
    <definedName name="RDRUNITS">#REF!</definedName>
    <definedName name="_xlnm.Recorder" localSheetId="21">#REF!</definedName>
    <definedName name="_xlnm.Recorder">#REF!</definedName>
    <definedName name="Reserved_Section" localSheetId="21">#REF!</definedName>
    <definedName name="Reserved_Section">#REF!</definedName>
    <definedName name="RIDERS" localSheetId="21">#REF!</definedName>
    <definedName name="RIDERS">#REF!</definedName>
    <definedName name="RKVAHRDNG" localSheetId="21">#REF!</definedName>
    <definedName name="RKVAHRDNG">#REF!</definedName>
    <definedName name="RTCHTCNTRCTCPCT" localSheetId="21">#REF!</definedName>
    <definedName name="RTCHTCNTRCTCPCT">#REF!</definedName>
    <definedName name="RTCHTFCTR" localSheetId="21">#REF!</definedName>
    <definedName name="RTCHTFCTR">#REF!</definedName>
    <definedName name="RTCHTFCTR2" localSheetId="21">#REF!</definedName>
    <definedName name="RTCHTFCTR2">#REF!</definedName>
    <definedName name="RTCHTHIPREVKW" localSheetId="21">#REF!</definedName>
    <definedName name="RTCHTHIPREVKW">#REF!</definedName>
    <definedName name="RTP_Detail" localSheetId="21">#REF!</definedName>
    <definedName name="RTP_Detail">#REF!</definedName>
    <definedName name="RTPLRKW" localSheetId="21">#REF!</definedName>
    <definedName name="RTPLRKW">#REF!</definedName>
    <definedName name="SDI" localSheetId="21">#REF!</definedName>
    <definedName name="SDI">#REF!</definedName>
    <definedName name="SHLDRPKKW" localSheetId="21">#REF!</definedName>
    <definedName name="SHLDRPKKW">#REF!</definedName>
    <definedName name="SHLDRPKKWDT" localSheetId="21">#REF!</definedName>
    <definedName name="SHLDRPKKWDT">#REF!</definedName>
    <definedName name="SHLDRPKKWTM" localSheetId="21">#REF!</definedName>
    <definedName name="SHLDRPKKWTM">#REF!</definedName>
    <definedName name="SHRDTRNSKWH" localSheetId="21">#REF!</definedName>
    <definedName name="SHRDTRNSKWH">#REF!</definedName>
    <definedName name="SRPLSKWH" localSheetId="21">#REF!</definedName>
    <definedName name="SRPLSKWH">#REF!</definedName>
    <definedName name="STARTDTM" localSheetId="21">#REF!</definedName>
    <definedName name="STARTDTM">#REF!</definedName>
    <definedName name="State" localSheetId="21">#REF!</definedName>
    <definedName name="State">#REF!</definedName>
    <definedName name="STDKW" localSheetId="21">#REF!</definedName>
    <definedName name="STDKW">#REF!</definedName>
    <definedName name="STDKWDT" localSheetId="21">#REF!</definedName>
    <definedName name="STDKWDT">#REF!</definedName>
    <definedName name="STDKWTM" localSheetId="21">#REF!</definedName>
    <definedName name="STDKWTM">#REF!</definedName>
    <definedName name="STRTTIME" localSheetId="21">#REF!</definedName>
    <definedName name="STRTTIME">#REF!</definedName>
    <definedName name="SWP_Proj_Allocators" localSheetId="21">#REF!</definedName>
    <definedName name="SWP_Proj_Allocators">#REF!</definedName>
    <definedName name="SWPallocatorsH" localSheetId="21">#REF!</definedName>
    <definedName name="SWPallocatorsH">#REF!</definedName>
    <definedName name="SWPallocatorsP" localSheetId="21">#REF!</definedName>
    <definedName name="SWPallocatorsP">#REF!</definedName>
    <definedName name="SYSPKKW" localSheetId="21">#REF!</definedName>
    <definedName name="SYSPKKW">#REF!</definedName>
    <definedName name="SYSPKKWDT" localSheetId="21">#REF!</definedName>
    <definedName name="SYSPKKWDT">#REF!</definedName>
    <definedName name="SYSPKKWTM" localSheetId="21">#REF!</definedName>
    <definedName name="SYSPKKWTM">#REF!</definedName>
    <definedName name="TARIFF1" localSheetId="21">#REF!</definedName>
    <definedName name="TARIFF1">#REF!</definedName>
    <definedName name="TARIFF2" localSheetId="21">#REF!</definedName>
    <definedName name="TARIFF2">#REF!</definedName>
    <definedName name="TariffCode" localSheetId="21">#REF!</definedName>
    <definedName name="TariffCode">#REF!</definedName>
    <definedName name="TariffLongName" localSheetId="21">#REF!</definedName>
    <definedName name="TariffLongName">#REF!</definedName>
    <definedName name="TariffShortName" localSheetId="21">#REF!</definedName>
    <definedName name="TariffShortName">#REF!</definedName>
    <definedName name="TAXDATE" localSheetId="21">#REF!</definedName>
    <definedName name="TAXDATE">#REF!</definedName>
    <definedName name="TAXES" localSheetId="21">#REF!</definedName>
    <definedName name="TAXES">#REF!</definedName>
    <definedName name="TAXNAME" localSheetId="21">#REF!</definedName>
    <definedName name="TAXNAME">#REF!</definedName>
    <definedName name="TAXRATE" localSheetId="21">#REF!</definedName>
    <definedName name="TAXRATE">#REF!</definedName>
    <definedName name="TAXTYPE" localSheetId="21">#REF!</definedName>
    <definedName name="TAXTYPE">#REF!</definedName>
    <definedName name="TCst" localSheetId="21">#REF!</definedName>
    <definedName name="TCst">#REF!</definedName>
    <definedName name="TCst1" localSheetId="21">#REF!</definedName>
    <definedName name="TCst1">#REF!</definedName>
    <definedName name="TIRPCCHG" localSheetId="21">#REF!</definedName>
    <definedName name="TIRPCCHG">#REF!</definedName>
    <definedName name="TIRPDCHG1" localSheetId="21">#REF!</definedName>
    <definedName name="TIRPDCHG1">#REF!</definedName>
    <definedName name="TIRPDCHG2" localSheetId="21">#REF!</definedName>
    <definedName name="TIRPDCHG2">#REF!</definedName>
    <definedName name="TIRPECHG1" localSheetId="21">#REF!</definedName>
    <definedName name="TIRPECHG1">#REF!</definedName>
    <definedName name="TIRPECHGB1" localSheetId="21">#REF!</definedName>
    <definedName name="TIRPECHGB1">#REF!</definedName>
    <definedName name="TIRPECHGB2" localSheetId="21">#REF!</definedName>
    <definedName name="TIRPECHGB2">#REF!</definedName>
    <definedName name="TIRPECHGB3" localSheetId="21">#REF!</definedName>
    <definedName name="TIRPECHGB3">#REF!</definedName>
    <definedName name="TIRPMECHG1" localSheetId="21">#REF!</definedName>
    <definedName name="TIRPMECHG1">#REF!</definedName>
    <definedName name="TIRPMINDC" localSheetId="21">#REF!</definedName>
    <definedName name="TIRPMINDC">#REF!</definedName>
    <definedName name="TIRPMINEC" localSheetId="21">#REF!</definedName>
    <definedName name="TIRPMINEC">#REF!</definedName>
    <definedName name="TIRPOFKVA" localSheetId="21">#REF!</definedName>
    <definedName name="TIRPOFKVA">#REF!</definedName>
    <definedName name="TIRPOFKW" localSheetId="21">#REF!</definedName>
    <definedName name="TIRPOFKW">#REF!</definedName>
    <definedName name="TIRPOFKWH" localSheetId="21">#REF!</definedName>
    <definedName name="TIRPOFKWH">#REF!</definedName>
    <definedName name="TIRPOPKWH" localSheetId="21">#REF!</definedName>
    <definedName name="TIRPOPKWH">#REF!</definedName>
    <definedName name="TIRPP1EC" localSheetId="21">#REF!</definedName>
    <definedName name="TIRPP1EC">#REF!</definedName>
    <definedName name="TIRPP2EC" localSheetId="21">#REF!</definedName>
    <definedName name="TIRPP2EC">#REF!</definedName>
    <definedName name="TIRPP3EC" localSheetId="21">#REF!</definedName>
    <definedName name="TIRPP3EC">#REF!</definedName>
    <definedName name="TIRPP4EC" localSheetId="21">#REF!</definedName>
    <definedName name="TIRPP4EC">#REF!</definedName>
    <definedName name="TIRPP5EC" localSheetId="21">#REF!</definedName>
    <definedName name="TIRPP5EC">#REF!</definedName>
    <definedName name="TIRPRCHG" localSheetId="21">#REF!</definedName>
    <definedName name="TIRPRCHG">#REF!</definedName>
    <definedName name="TLsFctr" localSheetId="21">#REF!</definedName>
    <definedName name="TLsFctr">#REF!</definedName>
    <definedName name="TRCRDKWH" localSheetId="21">#REF!</definedName>
    <definedName name="TRCRDKWH">#REF!</definedName>
    <definedName name="TRCRDKWH2P" localSheetId="21">#REF!</definedName>
    <definedName name="TRCRDKWH2P">#REF!</definedName>
    <definedName name="TRFDATE1" localSheetId="21">#REF!</definedName>
    <definedName name="TRFDATE1">#REF!</definedName>
    <definedName name="TRFDATE2" localSheetId="21">#REF!</definedName>
    <definedName name="TRFDATE2">#REF!</definedName>
    <definedName name="TRFNAME1" localSheetId="21">#REF!</definedName>
    <definedName name="TRFNAME1">#REF!</definedName>
    <definedName name="TRFNAME2" localSheetId="21">#REF!</definedName>
    <definedName name="TRFNAME2">#REF!</definedName>
    <definedName name="TRFSHORTNM1" localSheetId="21">#REF!</definedName>
    <definedName name="TRFSHORTNM1">#REF!</definedName>
    <definedName name="TRFSHORTNM2" localSheetId="21">#REF!</definedName>
    <definedName name="TRFSHORTNM2">#REF!</definedName>
    <definedName name="TrnBlkKwhChg1" localSheetId="21">#REF!</definedName>
    <definedName name="TrnBlkKwhChg1">#REF!</definedName>
    <definedName name="TrnBlkKwhChg2" localSheetId="21">#REF!</definedName>
    <definedName name="TrnBlkKwhChg2">#REF!</definedName>
    <definedName name="TrnBlkKwhChg3" localSheetId="21">#REF!</definedName>
    <definedName name="TrnBlkKwhChg3">#REF!</definedName>
    <definedName name="TrnBlkKwhChgT" localSheetId="21">#REF!</definedName>
    <definedName name="TrnBlkKwhChgT">#REF!</definedName>
    <definedName name="TRNCCHG" localSheetId="21">#REF!</definedName>
    <definedName name="TRNCCHG">#REF!</definedName>
    <definedName name="TrnCustChg" localSheetId="21">#REF!</definedName>
    <definedName name="TrnCustChg">#REF!</definedName>
    <definedName name="TRNDCHG1" localSheetId="21">#REF!</definedName>
    <definedName name="TRNDCHG1">#REF!</definedName>
    <definedName name="TRNDCHG2" localSheetId="21">#REF!</definedName>
    <definedName name="TRNDCHG2">#REF!</definedName>
    <definedName name="TrnDmdChg1" localSheetId="21">#REF!</definedName>
    <definedName name="TrnDmdChg1">#REF!</definedName>
    <definedName name="TrnDmdChg2" localSheetId="21">#REF!</definedName>
    <definedName name="TrnDmdChg2">#REF!</definedName>
    <definedName name="TRNECHG1" localSheetId="21">#REF!</definedName>
    <definedName name="TRNECHG1">#REF!</definedName>
    <definedName name="TRNECHGB1" localSheetId="21">#REF!</definedName>
    <definedName name="TRNECHGB1">#REF!</definedName>
    <definedName name="TRNECHGB2" localSheetId="21">#REF!</definedName>
    <definedName name="TRNECHGB2">#REF!</definedName>
    <definedName name="TRNECHGB3" localSheetId="21">#REF!</definedName>
    <definedName name="TRNECHGB3">#REF!</definedName>
    <definedName name="TrnMEChg" localSheetId="21">#REF!</definedName>
    <definedName name="TrnMEChg">#REF!</definedName>
    <definedName name="TRNMECHG1" localSheetId="21">#REF!</definedName>
    <definedName name="TRNMECHG1">#REF!</definedName>
    <definedName name="TRNMINDC" localSheetId="21">#REF!</definedName>
    <definedName name="TRNMINDC">#REF!</definedName>
    <definedName name="TrnMinDChg" localSheetId="21">#REF!</definedName>
    <definedName name="TrnMinDChg">#REF!</definedName>
    <definedName name="TRNMINEC" localSheetId="21">#REF!</definedName>
    <definedName name="TRNMINEC">#REF!</definedName>
    <definedName name="TrnMinEChg" localSheetId="21">#REF!</definedName>
    <definedName name="TrnMinEChg">#REF!</definedName>
    <definedName name="TrnOffPkKwh" localSheetId="21">#REF!</definedName>
    <definedName name="TrnOffPkKwh">#REF!</definedName>
    <definedName name="TRNOFKWH" localSheetId="21">#REF!</definedName>
    <definedName name="TRNOFKWH">#REF!</definedName>
    <definedName name="TrnOnPkKwh" localSheetId="21">#REF!</definedName>
    <definedName name="TrnOnPkKwh">#REF!</definedName>
    <definedName name="TRNOPKWH" localSheetId="21">#REF!</definedName>
    <definedName name="TRNOPKWH">#REF!</definedName>
    <definedName name="TRNP1EC" localSheetId="21">#REF!</definedName>
    <definedName name="TRNP1EC">#REF!</definedName>
    <definedName name="TRNP2EC" localSheetId="21">#REF!</definedName>
    <definedName name="TRNP2EC">#REF!</definedName>
    <definedName name="TRNP3EC" localSheetId="21">#REF!</definedName>
    <definedName name="TRNP3EC">#REF!</definedName>
    <definedName name="TRNP4EC" localSheetId="21">#REF!</definedName>
    <definedName name="TRNP4EC">#REF!</definedName>
    <definedName name="TRNP5EC" localSheetId="21">#REF!</definedName>
    <definedName name="TRNP5EC">#REF!</definedName>
    <definedName name="TrnPL1Chg" localSheetId="21">#REF!</definedName>
    <definedName name="TrnPL1Chg">#REF!</definedName>
    <definedName name="TrnPL2Chg" localSheetId="21">#REF!</definedName>
    <definedName name="TrnPL2Chg">#REF!</definedName>
    <definedName name="TrnPL3Chg" localSheetId="21">#REF!</definedName>
    <definedName name="TrnPL3Chg">#REF!</definedName>
    <definedName name="TrnPL4Chg" localSheetId="21">#REF!</definedName>
    <definedName name="TrnPL4Chg">#REF!</definedName>
    <definedName name="TrnPL5Chg" localSheetId="21">#REF!</definedName>
    <definedName name="TrnPL5Chg">#REF!</definedName>
    <definedName name="TRNRCHG" localSheetId="21">#REF!</definedName>
    <definedName name="TRNRCHG">#REF!</definedName>
    <definedName name="TrnReactiveChg" localSheetId="21">#REF!</definedName>
    <definedName name="TrnReactiveChg">#REF!</definedName>
    <definedName name="TRNSKWTOFPK" localSheetId="21">#REF!</definedName>
    <definedName name="TRNSKWTOFPK">#REF!</definedName>
    <definedName name="TRNSKWTONPK" localSheetId="21">#REF!</definedName>
    <definedName name="TRNSKWTONPK">#REF!</definedName>
    <definedName name="TRNXOFKVA" localSheetId="21">#REF!</definedName>
    <definedName name="TRNXOFKVA">#REF!</definedName>
    <definedName name="TRNXOFKW" localSheetId="21">#REF!</definedName>
    <definedName name="TRNXOFKW">#REF!</definedName>
    <definedName name="TrnXOfpKvaChg" localSheetId="21">#REF!</definedName>
    <definedName name="TrnXOfpKvaChg">#REF!</definedName>
    <definedName name="TrnXOfpKwChg" localSheetId="21">#REF!</definedName>
    <definedName name="TrnXOfpKwChg">#REF!</definedName>
    <definedName name="TTLBSRATETTL" localSheetId="21">#REF!</definedName>
    <definedName name="TTLBSRATETTL">#REF!</definedName>
    <definedName name="TTLCOGENKWH" localSheetId="21">#REF!</definedName>
    <definedName name="TTLCOGENKWH">#REF!</definedName>
    <definedName name="UNBUNDIND" localSheetId="21">#REF!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Capital'!$A$10:$N$82</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Capital'!$A$10:$N$82</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Capital'!$A$10:$N$82</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Capital'!$A$10:$N$82</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 localSheetId="21">#REF!</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0" i="37" l="1"/>
  <c r="J90" i="37"/>
  <c r="I90" i="37"/>
  <c r="D90" i="37"/>
  <c r="C90" i="37"/>
  <c r="K90" i="36"/>
  <c r="J90" i="36"/>
  <c r="I90" i="36"/>
  <c r="D90" i="36"/>
  <c r="C90" i="36"/>
  <c r="E89" i="31"/>
  <c r="G90" i="36" l="1"/>
  <c r="G90" i="37"/>
  <c r="B8" i="35" l="1"/>
  <c r="G165" i="2" l="1"/>
  <c r="F23" i="44" l="1"/>
  <c r="D21" i="44"/>
  <c r="H21" i="44" s="1"/>
  <c r="L17" i="44"/>
  <c r="O17" i="44" s="1"/>
  <c r="H17" i="44"/>
  <c r="J15" i="44"/>
  <c r="J21" i="44" s="1"/>
  <c r="L21" i="44" s="1"/>
  <c r="D15" i="44"/>
  <c r="A14" i="44"/>
  <c r="A15" i="44" s="1"/>
  <c r="A17" i="44" s="1"/>
  <c r="A19" i="44" s="1"/>
  <c r="A20" i="44" s="1"/>
  <c r="A21" i="44" s="1"/>
  <c r="A23" i="44" s="1"/>
  <c r="O21" i="44" l="1"/>
  <c r="D23" i="44"/>
  <c r="H15" i="44"/>
  <c r="J23" i="44"/>
  <c r="L15" i="44"/>
  <c r="L23" i="44" s="1"/>
  <c r="O15" i="44" l="1"/>
  <c r="O23" i="44" s="1"/>
  <c r="G42" i="39" l="1"/>
  <c r="F42" i="39"/>
  <c r="D42" i="39"/>
  <c r="C42" i="39"/>
  <c r="F23" i="39"/>
  <c r="E23" i="39"/>
  <c r="D23" i="39"/>
  <c r="F42" i="38"/>
  <c r="D42" i="38"/>
  <c r="F23" i="38"/>
  <c r="D23" i="38"/>
  <c r="C23" i="39" l="1"/>
  <c r="E42" i="39"/>
  <c r="E42" i="38" l="1"/>
  <c r="C42" i="38"/>
  <c r="G42" i="38"/>
  <c r="E23" i="38"/>
  <c r="G23" i="38"/>
  <c r="C23" i="38"/>
  <c r="D23" i="40" l="1"/>
  <c r="D18" i="40"/>
  <c r="D20" i="40" l="1"/>
  <c r="B8" i="41" l="1"/>
  <c r="B17" i="41"/>
  <c r="C39" i="41"/>
  <c r="C40" i="41" s="1"/>
  <c r="C41" i="41" s="1"/>
  <c r="C42" i="41" s="1"/>
  <c r="C43" i="41" s="1"/>
  <c r="C44" i="41" s="1"/>
  <c r="C45" i="41" s="1"/>
  <c r="C46" i="41" s="1"/>
  <c r="C47" i="41" s="1"/>
  <c r="C48" i="41" s="1"/>
  <c r="C49" i="41" s="1"/>
  <c r="C50" i="41" s="1"/>
  <c r="C36" i="41"/>
  <c r="C21" i="41"/>
  <c r="C32" i="41" s="1"/>
  <c r="C39" i="35"/>
  <c r="C36" i="35"/>
  <c r="C21" i="35"/>
  <c r="C25" i="41" l="1"/>
  <c r="C29" i="41"/>
  <c r="C22" i="41"/>
  <c r="C26" i="41"/>
  <c r="C30" i="41"/>
  <c r="C23" i="41"/>
  <c r="C27" i="41"/>
  <c r="C31" i="41"/>
  <c r="C24" i="41"/>
  <c r="C28" i="41"/>
  <c r="B44" i="42" l="1"/>
  <c r="O27" i="42"/>
  <c r="N27" i="42"/>
  <c r="M27" i="42"/>
  <c r="L27" i="42"/>
  <c r="K27" i="42"/>
  <c r="J27" i="42"/>
  <c r="I27" i="42"/>
  <c r="B27" i="42"/>
  <c r="P24" i="42"/>
  <c r="P23" i="42"/>
  <c r="P19" i="42"/>
  <c r="Q18" i="42"/>
  <c r="P17" i="42"/>
  <c r="P16" i="42"/>
  <c r="Q15" i="42"/>
  <c r="Q14" i="42"/>
  <c r="P13" i="42"/>
  <c r="P27" i="42" l="1"/>
  <c r="Q27" i="42"/>
  <c r="E44" i="43"/>
  <c r="D43" i="43"/>
  <c r="C43" i="43"/>
  <c r="E42" i="43"/>
  <c r="E41" i="43"/>
  <c r="E43" i="43" l="1"/>
  <c r="E45" i="43" s="1"/>
  <c r="I18" i="5" l="1"/>
  <c r="G136" i="2"/>
  <c r="G148" i="2"/>
  <c r="H232" i="2"/>
  <c r="L229" i="2"/>
  <c r="C40" i="35"/>
  <c r="C41" i="35" s="1"/>
  <c r="C42" i="35" s="1"/>
  <c r="C43" i="35" s="1"/>
  <c r="C44" i="35" s="1"/>
  <c r="C45" i="35" s="1"/>
  <c r="C46" i="35" s="1"/>
  <c r="C47" i="35" s="1"/>
  <c r="C48" i="35" s="1"/>
  <c r="C49" i="35" s="1"/>
  <c r="C50" i="35" s="1"/>
  <c r="I41" i="31"/>
  <c r="I40" i="31" s="1"/>
  <c r="G22" i="39"/>
  <c r="G21" i="39"/>
  <c r="G20" i="39"/>
  <c r="G19" i="39"/>
  <c r="G18" i="39"/>
  <c r="G17" i="39"/>
  <c r="G16" i="39"/>
  <c r="G15" i="39"/>
  <c r="G14" i="39"/>
  <c r="G13" i="39"/>
  <c r="G12" i="39"/>
  <c r="I52" i="5"/>
  <c r="L95" i="2" s="1"/>
  <c r="E51" i="5"/>
  <c r="H22" i="41"/>
  <c r="H23" i="41" s="1"/>
  <c r="H24" i="41" s="1"/>
  <c r="H25" i="41" s="1"/>
  <c r="H26" i="41" s="1"/>
  <c r="H27" i="41" s="1"/>
  <c r="H28" i="41" s="1"/>
  <c r="H29" i="41" s="1"/>
  <c r="H30" i="41" s="1"/>
  <c r="H31" i="41" s="1"/>
  <c r="H32" i="41" s="1"/>
  <c r="G10" i="41"/>
  <c r="C10" i="41"/>
  <c r="L245" i="2"/>
  <c r="L244" i="2"/>
  <c r="E74" i="39"/>
  <c r="E76" i="39" s="1"/>
  <c r="G76" i="2"/>
  <c r="G74" i="2"/>
  <c r="G66" i="2"/>
  <c r="G64" i="2"/>
  <c r="N26" i="20"/>
  <c r="M26" i="20"/>
  <c r="G24" i="2" s="1"/>
  <c r="L24" i="2" s="1"/>
  <c r="J270" i="2"/>
  <c r="H22" i="35"/>
  <c r="H23" i="35" s="1"/>
  <c r="H24" i="35" s="1"/>
  <c r="H25" i="35" s="1"/>
  <c r="H26" i="35" s="1"/>
  <c r="H27" i="35" s="1"/>
  <c r="H28" i="35" s="1"/>
  <c r="H29" i="35" s="1"/>
  <c r="H30" i="35" s="1"/>
  <c r="H31" i="35" s="1"/>
  <c r="H32" i="35" s="1"/>
  <c r="G10" i="35"/>
  <c r="C10" i="35"/>
  <c r="F62" i="38"/>
  <c r="E62" i="38"/>
  <c r="L213" i="2" s="1"/>
  <c r="D62" i="38"/>
  <c r="C62" i="38"/>
  <c r="L214" i="2" s="1"/>
  <c r="A7" i="40"/>
  <c r="A4" i="40"/>
  <c r="A3" i="40"/>
  <c r="A12" i="40"/>
  <c r="A15" i="40" s="1"/>
  <c r="A16" i="40" s="1"/>
  <c r="A17" i="40" s="1"/>
  <c r="A18" i="40" s="1"/>
  <c r="A19" i="40" s="1"/>
  <c r="A20" i="40" s="1"/>
  <c r="A21" i="40" s="1"/>
  <c r="A22" i="40" s="1"/>
  <c r="A23" i="40" s="1"/>
  <c r="A26" i="40" s="1"/>
  <c r="A27" i="40" s="1"/>
  <c r="A28" i="40" s="1"/>
  <c r="A29" i="40" s="1"/>
  <c r="A30"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A2" i="39"/>
  <c r="B6" i="14"/>
  <c r="A6" i="13"/>
  <c r="J77" i="13" s="1"/>
  <c r="A6" i="20"/>
  <c r="I77" i="20" s="1"/>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E40" i="31"/>
  <c r="E23" i="11" s="1"/>
  <c r="G23" i="11" s="1"/>
  <c r="I39" i="31"/>
  <c r="I36" i="31"/>
  <c r="I35" i="31"/>
  <c r="I34" i="31"/>
  <c r="I33" i="31"/>
  <c r="I32" i="31"/>
  <c r="I25" i="31"/>
  <c r="I26" i="31"/>
  <c r="I27" i="31"/>
  <c r="I28" i="31"/>
  <c r="I29" i="31"/>
  <c r="D43" i="5"/>
  <c r="D42" i="5"/>
  <c r="D27" i="5"/>
  <c r="D19" i="5"/>
  <c r="B1" i="37"/>
  <c r="B1" i="36"/>
  <c r="S110" i="37"/>
  <c r="R110" i="37"/>
  <c r="Q110" i="37"/>
  <c r="O110" i="37"/>
  <c r="N110" i="37"/>
  <c r="M110" i="37"/>
  <c r="F110" i="37"/>
  <c r="E110" i="37"/>
  <c r="S109" i="37"/>
  <c r="R109" i="37"/>
  <c r="Q109" i="37"/>
  <c r="O109" i="37"/>
  <c r="N109" i="37"/>
  <c r="M109" i="37"/>
  <c r="K107" i="37"/>
  <c r="J107" i="37"/>
  <c r="I107" i="37"/>
  <c r="D107" i="37"/>
  <c r="C107" i="37"/>
  <c r="K106" i="37"/>
  <c r="J106" i="37"/>
  <c r="I106" i="37"/>
  <c r="F106" i="37"/>
  <c r="E106" i="37"/>
  <c r="F105" i="37"/>
  <c r="E105" i="37"/>
  <c r="F104" i="37"/>
  <c r="E104" i="37"/>
  <c r="F103" i="37"/>
  <c r="E103" i="37"/>
  <c r="F102" i="37"/>
  <c r="E102" i="37"/>
  <c r="F101" i="37"/>
  <c r="E101" i="37"/>
  <c r="F100" i="37"/>
  <c r="E100" i="37"/>
  <c r="F99" i="37"/>
  <c r="E99" i="37"/>
  <c r="F98" i="37"/>
  <c r="E98" i="37"/>
  <c r="F97" i="37"/>
  <c r="E97" i="37"/>
  <c r="F96" i="37"/>
  <c r="E96" i="37"/>
  <c r="K95" i="37"/>
  <c r="J95" i="37"/>
  <c r="I95" i="37"/>
  <c r="D95" i="37"/>
  <c r="C95" i="37"/>
  <c r="K94" i="37"/>
  <c r="J94" i="37"/>
  <c r="I94" i="37"/>
  <c r="D94" i="37"/>
  <c r="C94" i="37"/>
  <c r="K93" i="37"/>
  <c r="J93" i="37"/>
  <c r="I93" i="37"/>
  <c r="D93" i="37"/>
  <c r="C93" i="37"/>
  <c r="K92" i="37"/>
  <c r="J92" i="37"/>
  <c r="I92" i="37"/>
  <c r="D92" i="37"/>
  <c r="C92" i="37"/>
  <c r="K91" i="37"/>
  <c r="J91" i="37"/>
  <c r="I91" i="37"/>
  <c r="D91" i="37"/>
  <c r="C91" i="37"/>
  <c r="K89" i="37"/>
  <c r="J89" i="37"/>
  <c r="I89" i="37"/>
  <c r="D89" i="37"/>
  <c r="C89" i="37"/>
  <c r="K88" i="37"/>
  <c r="J88" i="37"/>
  <c r="I88" i="37"/>
  <c r="D88" i="37"/>
  <c r="C88" i="37"/>
  <c r="K87" i="37"/>
  <c r="J87" i="37"/>
  <c r="I87" i="37"/>
  <c r="D87" i="37"/>
  <c r="C87" i="37"/>
  <c r="K86" i="37"/>
  <c r="J86" i="37"/>
  <c r="I86" i="37"/>
  <c r="D86" i="37"/>
  <c r="C86" i="37"/>
  <c r="K85" i="37"/>
  <c r="J85" i="37"/>
  <c r="I85" i="37"/>
  <c r="D85" i="37"/>
  <c r="C85" i="37"/>
  <c r="K84" i="37"/>
  <c r="J84" i="37"/>
  <c r="I84" i="37"/>
  <c r="D84" i="37"/>
  <c r="C84" i="37"/>
  <c r="K83" i="37"/>
  <c r="J83" i="37"/>
  <c r="I83" i="37"/>
  <c r="D83" i="37"/>
  <c r="C83" i="37"/>
  <c r="K82" i="37"/>
  <c r="J82" i="37"/>
  <c r="I82" i="37"/>
  <c r="D82" i="37"/>
  <c r="C82" i="37"/>
  <c r="K81" i="37"/>
  <c r="J81" i="37"/>
  <c r="I81" i="37"/>
  <c r="D81" i="37"/>
  <c r="C81" i="37"/>
  <c r="K80" i="37"/>
  <c r="J80" i="37"/>
  <c r="I80" i="37"/>
  <c r="D80" i="37"/>
  <c r="C80" i="37"/>
  <c r="K79" i="37"/>
  <c r="J79" i="37"/>
  <c r="I79" i="37"/>
  <c r="D79" i="37"/>
  <c r="C79" i="37"/>
  <c r="K78" i="37"/>
  <c r="J78" i="37"/>
  <c r="I78" i="37"/>
  <c r="D78" i="37"/>
  <c r="C78" i="37"/>
  <c r="K77" i="37"/>
  <c r="J77" i="37"/>
  <c r="I77" i="37"/>
  <c r="D77" i="37"/>
  <c r="C77" i="37"/>
  <c r="K76" i="37"/>
  <c r="J76" i="37"/>
  <c r="I76" i="37"/>
  <c r="D76" i="37"/>
  <c r="C76" i="37"/>
  <c r="K75" i="37"/>
  <c r="J75" i="37"/>
  <c r="I75" i="37"/>
  <c r="D75" i="37"/>
  <c r="C75" i="37"/>
  <c r="K74" i="37"/>
  <c r="J74" i="37"/>
  <c r="I74" i="37"/>
  <c r="D74" i="37"/>
  <c r="C74" i="37"/>
  <c r="K73" i="37"/>
  <c r="J73" i="37"/>
  <c r="I73" i="37"/>
  <c r="D73" i="37"/>
  <c r="C73" i="37"/>
  <c r="K72" i="37"/>
  <c r="J72" i="37"/>
  <c r="I72" i="37"/>
  <c r="D72" i="37"/>
  <c r="C72" i="37"/>
  <c r="K71" i="37"/>
  <c r="J71" i="37"/>
  <c r="I71" i="37"/>
  <c r="D71" i="37"/>
  <c r="C71" i="37"/>
  <c r="K70" i="37"/>
  <c r="J70" i="37"/>
  <c r="I70" i="37"/>
  <c r="D70" i="37"/>
  <c r="C70" i="37"/>
  <c r="K69" i="37"/>
  <c r="J69" i="37"/>
  <c r="I69" i="37"/>
  <c r="D69" i="37"/>
  <c r="C69" i="37"/>
  <c r="K68" i="37"/>
  <c r="J68" i="37"/>
  <c r="I68" i="37"/>
  <c r="D68" i="37"/>
  <c r="C68" i="37"/>
  <c r="K67" i="37"/>
  <c r="J67" i="37"/>
  <c r="I67" i="37"/>
  <c r="D67" i="37"/>
  <c r="C67" i="37"/>
  <c r="K66" i="37"/>
  <c r="J66" i="37"/>
  <c r="I66" i="37"/>
  <c r="D66" i="37"/>
  <c r="C66" i="37"/>
  <c r="K65" i="37"/>
  <c r="J65" i="37"/>
  <c r="I65" i="37"/>
  <c r="D65" i="37"/>
  <c r="C65" i="37"/>
  <c r="K64" i="37"/>
  <c r="J64" i="37"/>
  <c r="I64" i="37"/>
  <c r="D64" i="37"/>
  <c r="C64" i="37"/>
  <c r="K63" i="37"/>
  <c r="J63" i="37"/>
  <c r="I63" i="37"/>
  <c r="D63" i="37"/>
  <c r="C63" i="37"/>
  <c r="K62" i="37"/>
  <c r="J62" i="37"/>
  <c r="I62" i="37"/>
  <c r="D62" i="37"/>
  <c r="C62" i="37"/>
  <c r="K61" i="37"/>
  <c r="J61" i="37"/>
  <c r="I61" i="37"/>
  <c r="D61" i="37"/>
  <c r="C61" i="37"/>
  <c r="K60" i="37"/>
  <c r="J60" i="37"/>
  <c r="I60" i="37"/>
  <c r="D60" i="37"/>
  <c r="C60" i="37"/>
  <c r="K59" i="37"/>
  <c r="J59" i="37"/>
  <c r="I59" i="37"/>
  <c r="D59" i="37"/>
  <c r="C59" i="37"/>
  <c r="K58" i="37"/>
  <c r="J58" i="37"/>
  <c r="I58" i="37"/>
  <c r="D58" i="37"/>
  <c r="C58" i="37"/>
  <c r="K57" i="37"/>
  <c r="J57" i="37"/>
  <c r="I57" i="37"/>
  <c r="D57" i="37"/>
  <c r="C57" i="37"/>
  <c r="K56" i="37"/>
  <c r="J56" i="37"/>
  <c r="I56" i="37"/>
  <c r="D56" i="37"/>
  <c r="C56" i="37"/>
  <c r="K55" i="37"/>
  <c r="J55" i="37"/>
  <c r="I55" i="37"/>
  <c r="D55" i="37"/>
  <c r="C55" i="37"/>
  <c r="K54" i="37"/>
  <c r="J54" i="37"/>
  <c r="I54" i="37"/>
  <c r="D54" i="37"/>
  <c r="C54" i="37"/>
  <c r="K53" i="37"/>
  <c r="J53" i="37"/>
  <c r="I53" i="37"/>
  <c r="D53" i="37"/>
  <c r="C53" i="37"/>
  <c r="K52" i="37"/>
  <c r="J52" i="37"/>
  <c r="I52" i="37"/>
  <c r="D52" i="37"/>
  <c r="C52" i="37"/>
  <c r="K51" i="37"/>
  <c r="J51" i="37"/>
  <c r="I51" i="37"/>
  <c r="D51" i="37"/>
  <c r="C51" i="37"/>
  <c r="K50" i="37"/>
  <c r="J50" i="37"/>
  <c r="I50" i="37"/>
  <c r="D50" i="37"/>
  <c r="C50" i="37"/>
  <c r="K49" i="37"/>
  <c r="J49" i="37"/>
  <c r="I49" i="37"/>
  <c r="D49" i="37"/>
  <c r="C49" i="37"/>
  <c r="K48" i="37"/>
  <c r="J48" i="37"/>
  <c r="I48" i="37"/>
  <c r="D48" i="37"/>
  <c r="C48" i="37"/>
  <c r="K47" i="37"/>
  <c r="J47" i="37"/>
  <c r="I47" i="37"/>
  <c r="D47" i="37"/>
  <c r="C47" i="37"/>
  <c r="K46" i="37"/>
  <c r="J46" i="37"/>
  <c r="I46" i="37"/>
  <c r="D46" i="37"/>
  <c r="C46" i="37"/>
  <c r="K45" i="37"/>
  <c r="J45" i="37"/>
  <c r="I45" i="37"/>
  <c r="D45" i="37"/>
  <c r="C45" i="37"/>
  <c r="K44" i="37"/>
  <c r="J44" i="37"/>
  <c r="I44" i="37"/>
  <c r="D44" i="37"/>
  <c r="C44" i="37"/>
  <c r="K43" i="37"/>
  <c r="J43" i="37"/>
  <c r="I43" i="37"/>
  <c r="D43" i="37"/>
  <c r="C43" i="37"/>
  <c r="K42" i="37"/>
  <c r="J42" i="37"/>
  <c r="I42" i="37"/>
  <c r="D42" i="37"/>
  <c r="C42" i="37"/>
  <c r="K41" i="37"/>
  <c r="J41" i="37"/>
  <c r="I41" i="37"/>
  <c r="D41" i="37"/>
  <c r="C41" i="37"/>
  <c r="K40" i="37"/>
  <c r="J40" i="37"/>
  <c r="I40" i="37"/>
  <c r="D40" i="37"/>
  <c r="C40" i="37"/>
  <c r="K39" i="37"/>
  <c r="J39" i="37"/>
  <c r="I39" i="37"/>
  <c r="D39" i="37"/>
  <c r="C39" i="37"/>
  <c r="K38" i="37"/>
  <c r="J38" i="37"/>
  <c r="I38" i="37"/>
  <c r="D38" i="37"/>
  <c r="C38" i="37"/>
  <c r="K37" i="37"/>
  <c r="J37" i="37"/>
  <c r="I37" i="37"/>
  <c r="D37" i="37"/>
  <c r="C37" i="37"/>
  <c r="K36" i="37"/>
  <c r="J36" i="37"/>
  <c r="I36" i="37"/>
  <c r="D36" i="37"/>
  <c r="C36" i="37"/>
  <c r="K35" i="37"/>
  <c r="J35" i="37"/>
  <c r="I35" i="37"/>
  <c r="D35" i="37"/>
  <c r="C35" i="37"/>
  <c r="K34" i="37"/>
  <c r="J34" i="37"/>
  <c r="I34" i="37"/>
  <c r="D34" i="37"/>
  <c r="C34" i="37"/>
  <c r="K33" i="37"/>
  <c r="J33" i="37"/>
  <c r="I33" i="37"/>
  <c r="D33" i="37"/>
  <c r="C33" i="37"/>
  <c r="K32" i="37"/>
  <c r="J32" i="37"/>
  <c r="I32" i="37"/>
  <c r="D32" i="37"/>
  <c r="C32" i="37"/>
  <c r="K31" i="37"/>
  <c r="J31" i="37"/>
  <c r="I31" i="37"/>
  <c r="D31" i="37"/>
  <c r="C31" i="37"/>
  <c r="K30" i="37"/>
  <c r="J30" i="37"/>
  <c r="I30" i="37"/>
  <c r="D30" i="37"/>
  <c r="C30" i="37"/>
  <c r="K29" i="37"/>
  <c r="J29" i="37"/>
  <c r="I29" i="37"/>
  <c r="D29" i="37"/>
  <c r="C29" i="37"/>
  <c r="K28" i="37"/>
  <c r="J28" i="37"/>
  <c r="I28" i="37"/>
  <c r="D28" i="37"/>
  <c r="C28" i="37"/>
  <c r="K27" i="37"/>
  <c r="J27" i="37"/>
  <c r="I27" i="37"/>
  <c r="D27" i="37"/>
  <c r="C27" i="37"/>
  <c r="K26" i="37"/>
  <c r="J26" i="37"/>
  <c r="I26" i="37"/>
  <c r="D26" i="37"/>
  <c r="C26" i="37"/>
  <c r="K25" i="37"/>
  <c r="J25" i="37"/>
  <c r="I25" i="37"/>
  <c r="D25" i="37"/>
  <c r="C25" i="37"/>
  <c r="K24" i="37"/>
  <c r="J24" i="37"/>
  <c r="I24" i="37"/>
  <c r="D24" i="37"/>
  <c r="C24" i="37"/>
  <c r="K23" i="37"/>
  <c r="J23" i="37"/>
  <c r="I23" i="37"/>
  <c r="D23" i="37"/>
  <c r="C23" i="37"/>
  <c r="K22" i="37"/>
  <c r="J22" i="37"/>
  <c r="I22" i="37"/>
  <c r="D22" i="37"/>
  <c r="C22" i="37"/>
  <c r="K21" i="37"/>
  <c r="J21" i="37"/>
  <c r="I21" i="37"/>
  <c r="D21" i="37"/>
  <c r="C21" i="37"/>
  <c r="K20" i="37"/>
  <c r="J20" i="37"/>
  <c r="I20" i="37"/>
  <c r="D20" i="37"/>
  <c r="C20" i="37"/>
  <c r="K19" i="37"/>
  <c r="J19" i="37"/>
  <c r="I19" i="37"/>
  <c r="D19" i="37"/>
  <c r="C19" i="37"/>
  <c r="K18" i="37"/>
  <c r="J18" i="37"/>
  <c r="I18" i="37"/>
  <c r="D18" i="37"/>
  <c r="C18" i="37"/>
  <c r="A18" i="37"/>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K17" i="37"/>
  <c r="J17" i="37"/>
  <c r="I17" i="37"/>
  <c r="D17" i="37"/>
  <c r="C17" i="37"/>
  <c r="S197" i="36"/>
  <c r="R197" i="36"/>
  <c r="Q197" i="36"/>
  <c r="O197" i="36"/>
  <c r="N197" i="36"/>
  <c r="M197" i="36"/>
  <c r="F197" i="36"/>
  <c r="E197" i="36"/>
  <c r="K195" i="36"/>
  <c r="J195" i="36"/>
  <c r="I195" i="36"/>
  <c r="D195" i="36"/>
  <c r="C195" i="36"/>
  <c r="K194" i="36"/>
  <c r="J194" i="36"/>
  <c r="I194" i="36"/>
  <c r="D194" i="36"/>
  <c r="C194" i="36"/>
  <c r="S184" i="36"/>
  <c r="R184" i="36"/>
  <c r="Q184" i="36"/>
  <c r="O184" i="36"/>
  <c r="N184" i="36"/>
  <c r="M184" i="36"/>
  <c r="F184" i="36"/>
  <c r="E184" i="36"/>
  <c r="F181" i="36"/>
  <c r="E181" i="36"/>
  <c r="K180" i="36"/>
  <c r="J180" i="36"/>
  <c r="I180" i="36"/>
  <c r="D180" i="36"/>
  <c r="C180" i="36"/>
  <c r="A180" i="36"/>
  <c r="A181" i="36" s="1"/>
  <c r="S177" i="36"/>
  <c r="S183" i="36" s="1"/>
  <c r="R177" i="36"/>
  <c r="R183" i="36" s="1"/>
  <c r="Q177" i="36"/>
  <c r="Q183" i="36" s="1"/>
  <c r="O177" i="36"/>
  <c r="O183" i="36" s="1"/>
  <c r="N177" i="36"/>
  <c r="N183" i="36" s="1"/>
  <c r="M177" i="36"/>
  <c r="M183" i="36" s="1"/>
  <c r="F174" i="36"/>
  <c r="E174" i="36"/>
  <c r="F173" i="36"/>
  <c r="E173" i="36"/>
  <c r="F172" i="36"/>
  <c r="E172" i="36"/>
  <c r="F171" i="36"/>
  <c r="E171" i="36"/>
  <c r="F170" i="36"/>
  <c r="E170" i="36"/>
  <c r="F169" i="36"/>
  <c r="E169" i="36"/>
  <c r="K168" i="36"/>
  <c r="J168" i="36"/>
  <c r="I168" i="36"/>
  <c r="D168" i="36"/>
  <c r="C168" i="36"/>
  <c r="K167" i="36"/>
  <c r="J167" i="36"/>
  <c r="I167" i="36"/>
  <c r="D167" i="36"/>
  <c r="C167" i="36"/>
  <c r="K166" i="36"/>
  <c r="J166" i="36"/>
  <c r="I166" i="36"/>
  <c r="D166" i="36"/>
  <c r="C166" i="36"/>
  <c r="K165" i="36"/>
  <c r="J165" i="36"/>
  <c r="I165" i="36"/>
  <c r="D165" i="36"/>
  <c r="C165" i="36"/>
  <c r="K164" i="36"/>
  <c r="J164" i="36"/>
  <c r="I164" i="36"/>
  <c r="D164" i="36"/>
  <c r="C164" i="36"/>
  <c r="K163" i="36"/>
  <c r="J163" i="36"/>
  <c r="I163" i="36"/>
  <c r="D163" i="36"/>
  <c r="C163" i="36"/>
  <c r="K162" i="36"/>
  <c r="J162" i="36"/>
  <c r="I162" i="36"/>
  <c r="D162" i="36"/>
  <c r="C162" i="36"/>
  <c r="K161" i="36"/>
  <c r="J161" i="36"/>
  <c r="I161" i="36"/>
  <c r="D161" i="36"/>
  <c r="C161" i="36"/>
  <c r="K160" i="36"/>
  <c r="J160" i="36"/>
  <c r="I160" i="36"/>
  <c r="D160" i="36"/>
  <c r="C160" i="36"/>
  <c r="K159" i="36"/>
  <c r="J159" i="36"/>
  <c r="I159" i="36"/>
  <c r="D159" i="36"/>
  <c r="C159" i="36"/>
  <c r="K158" i="36"/>
  <c r="J158" i="36"/>
  <c r="I158" i="36"/>
  <c r="D158" i="36"/>
  <c r="C158" i="36"/>
  <c r="K157" i="36"/>
  <c r="J157" i="36"/>
  <c r="I157" i="36"/>
  <c r="D157" i="36"/>
  <c r="C157" i="36"/>
  <c r="K156" i="36"/>
  <c r="J156" i="36"/>
  <c r="I156" i="36"/>
  <c r="D156" i="36"/>
  <c r="C156" i="36"/>
  <c r="K155" i="36"/>
  <c r="J155" i="36"/>
  <c r="I155" i="36"/>
  <c r="D155" i="36"/>
  <c r="C155" i="36"/>
  <c r="K154" i="36"/>
  <c r="J154" i="36"/>
  <c r="I154" i="36"/>
  <c r="D154" i="36"/>
  <c r="C154" i="36"/>
  <c r="K153" i="36"/>
  <c r="J153" i="36"/>
  <c r="I153" i="36"/>
  <c r="D153" i="36"/>
  <c r="C153" i="36"/>
  <c r="K152" i="36"/>
  <c r="J152" i="36"/>
  <c r="I152" i="36"/>
  <c r="D152" i="36"/>
  <c r="C152" i="36"/>
  <c r="K151" i="36"/>
  <c r="J151" i="36"/>
  <c r="I151" i="36"/>
  <c r="D151" i="36"/>
  <c r="C151" i="36"/>
  <c r="K150" i="36"/>
  <c r="J150" i="36"/>
  <c r="I150" i="36"/>
  <c r="D150" i="36"/>
  <c r="C150" i="36"/>
  <c r="K149" i="36"/>
  <c r="J149" i="36"/>
  <c r="I149" i="36"/>
  <c r="D149" i="36"/>
  <c r="C149" i="36"/>
  <c r="K148" i="36"/>
  <c r="J148" i="36"/>
  <c r="I148" i="36"/>
  <c r="D148" i="36"/>
  <c r="C148" i="36"/>
  <c r="K147" i="36"/>
  <c r="J147" i="36"/>
  <c r="I147" i="36"/>
  <c r="D147" i="36"/>
  <c r="C147" i="36"/>
  <c r="K146" i="36"/>
  <c r="J146" i="36"/>
  <c r="I146" i="36"/>
  <c r="D146" i="36"/>
  <c r="C146" i="36"/>
  <c r="K145" i="36"/>
  <c r="J145" i="36"/>
  <c r="I145" i="36"/>
  <c r="D145" i="36"/>
  <c r="C145" i="36"/>
  <c r="K144" i="36"/>
  <c r="J144" i="36"/>
  <c r="I144" i="36"/>
  <c r="D144" i="36"/>
  <c r="C144" i="36"/>
  <c r="K143" i="36"/>
  <c r="J143" i="36"/>
  <c r="I143" i="36"/>
  <c r="D143" i="36"/>
  <c r="C143" i="36"/>
  <c r="K142" i="36"/>
  <c r="J142" i="36"/>
  <c r="I142" i="36"/>
  <c r="D142" i="36"/>
  <c r="C142" i="36"/>
  <c r="K141" i="36"/>
  <c r="J141" i="36"/>
  <c r="I141" i="36"/>
  <c r="D141" i="36"/>
  <c r="C141" i="36"/>
  <c r="K140" i="36"/>
  <c r="J140" i="36"/>
  <c r="I140" i="36"/>
  <c r="D140" i="36"/>
  <c r="C140" i="36"/>
  <c r="K139" i="36"/>
  <c r="J139" i="36"/>
  <c r="I139" i="36"/>
  <c r="D139" i="36"/>
  <c r="C139" i="36"/>
  <c r="K138" i="36"/>
  <c r="J138" i="36"/>
  <c r="I138" i="36"/>
  <c r="D138" i="36"/>
  <c r="C138" i="36"/>
  <c r="K137" i="36"/>
  <c r="J137" i="36"/>
  <c r="I137" i="36"/>
  <c r="D137" i="36"/>
  <c r="C137" i="36"/>
  <c r="K136" i="36"/>
  <c r="J136" i="36"/>
  <c r="I136" i="36"/>
  <c r="D136" i="36"/>
  <c r="C136" i="36"/>
  <c r="K135" i="36"/>
  <c r="J135" i="36"/>
  <c r="I135" i="36"/>
  <c r="D135" i="36"/>
  <c r="C135" i="36"/>
  <c r="K134" i="36"/>
  <c r="J134" i="36"/>
  <c r="I134" i="36"/>
  <c r="D134" i="36"/>
  <c r="C134" i="36"/>
  <c r="K133" i="36"/>
  <c r="J133" i="36"/>
  <c r="I133" i="36"/>
  <c r="D133" i="36"/>
  <c r="C133" i="36"/>
  <c r="K132" i="36"/>
  <c r="J132" i="36"/>
  <c r="I132" i="36"/>
  <c r="D132" i="36"/>
  <c r="C132" i="36"/>
  <c r="K131" i="36"/>
  <c r="J131" i="36"/>
  <c r="I131" i="36"/>
  <c r="D131" i="36"/>
  <c r="C131" i="36"/>
  <c r="K130" i="36"/>
  <c r="J130" i="36"/>
  <c r="I130" i="36"/>
  <c r="D130" i="36"/>
  <c r="C130" i="36"/>
  <c r="K129" i="36"/>
  <c r="J129" i="36"/>
  <c r="I129" i="36"/>
  <c r="D129" i="36"/>
  <c r="C129" i="36"/>
  <c r="K128" i="36"/>
  <c r="J128" i="36"/>
  <c r="I128" i="36"/>
  <c r="D128" i="36"/>
  <c r="C128" i="36"/>
  <c r="K127" i="36"/>
  <c r="J127" i="36"/>
  <c r="I127" i="36"/>
  <c r="D127" i="36"/>
  <c r="C127" i="36"/>
  <c r="K126" i="36"/>
  <c r="J126" i="36"/>
  <c r="I126" i="36"/>
  <c r="D126" i="36"/>
  <c r="C126" i="36"/>
  <c r="K125" i="36"/>
  <c r="J125" i="36"/>
  <c r="I125" i="36"/>
  <c r="D125" i="36"/>
  <c r="C125" i="36"/>
  <c r="K124" i="36"/>
  <c r="J124" i="36"/>
  <c r="I124" i="36"/>
  <c r="D124" i="36"/>
  <c r="C124" i="36"/>
  <c r="K123" i="36"/>
  <c r="J123" i="36"/>
  <c r="I123" i="36"/>
  <c r="D123" i="36"/>
  <c r="C123" i="36"/>
  <c r="K122" i="36"/>
  <c r="J122" i="36"/>
  <c r="I122" i="36"/>
  <c r="D122" i="36"/>
  <c r="C122" i="36"/>
  <c r="K121" i="36"/>
  <c r="J121" i="36"/>
  <c r="I121" i="36"/>
  <c r="D121" i="36"/>
  <c r="C121" i="36"/>
  <c r="K120" i="36"/>
  <c r="J120" i="36"/>
  <c r="I120" i="36"/>
  <c r="D120" i="36"/>
  <c r="C120" i="36"/>
  <c r="K119" i="36"/>
  <c r="J119" i="36"/>
  <c r="I119" i="36"/>
  <c r="D119" i="36"/>
  <c r="C119" i="36"/>
  <c r="K118" i="36"/>
  <c r="J118" i="36"/>
  <c r="I118" i="36"/>
  <c r="D118" i="36"/>
  <c r="C118" i="36"/>
  <c r="K117" i="36"/>
  <c r="J117" i="36"/>
  <c r="I117" i="36"/>
  <c r="D117" i="36"/>
  <c r="C117" i="36"/>
  <c r="K116" i="36"/>
  <c r="J116" i="36"/>
  <c r="I116" i="36"/>
  <c r="D116" i="36"/>
  <c r="C116" i="36"/>
  <c r="K115" i="36"/>
  <c r="J115" i="36"/>
  <c r="I115" i="36"/>
  <c r="D115" i="36"/>
  <c r="C115" i="36"/>
  <c r="K114" i="36"/>
  <c r="J114" i="36"/>
  <c r="I114" i="36"/>
  <c r="D114" i="36"/>
  <c r="C114" i="36"/>
  <c r="K113" i="36"/>
  <c r="J113" i="36"/>
  <c r="I113" i="36"/>
  <c r="D113" i="36"/>
  <c r="C113" i="36"/>
  <c r="K112" i="36"/>
  <c r="J112" i="36"/>
  <c r="I112" i="36"/>
  <c r="D112" i="36"/>
  <c r="C112" i="36"/>
  <c r="K111" i="36"/>
  <c r="J111" i="36"/>
  <c r="I111" i="36"/>
  <c r="D111" i="36"/>
  <c r="C111" i="36"/>
  <c r="K110" i="36"/>
  <c r="J110" i="36"/>
  <c r="I110" i="36"/>
  <c r="D110" i="36"/>
  <c r="C110" i="36"/>
  <c r="K109" i="36"/>
  <c r="J109" i="36"/>
  <c r="I109" i="36"/>
  <c r="D109" i="36"/>
  <c r="C109" i="36"/>
  <c r="K108" i="36"/>
  <c r="J108" i="36"/>
  <c r="I108" i="36"/>
  <c r="D108" i="36"/>
  <c r="C108" i="36"/>
  <c r="K107" i="36"/>
  <c r="J107" i="36"/>
  <c r="I107" i="36"/>
  <c r="D107" i="36"/>
  <c r="C107" i="36"/>
  <c r="K106" i="36"/>
  <c r="J106" i="36"/>
  <c r="I106" i="36"/>
  <c r="D106" i="36"/>
  <c r="C106" i="36"/>
  <c r="K105" i="36"/>
  <c r="J105" i="36"/>
  <c r="I105" i="36"/>
  <c r="D105" i="36"/>
  <c r="C105" i="36"/>
  <c r="K104" i="36"/>
  <c r="J104" i="36"/>
  <c r="I104" i="36"/>
  <c r="D104" i="36"/>
  <c r="C104" i="36"/>
  <c r="K103" i="36"/>
  <c r="J103" i="36"/>
  <c r="I103" i="36"/>
  <c r="D103" i="36"/>
  <c r="C103" i="36"/>
  <c r="K102" i="36"/>
  <c r="J102" i="36"/>
  <c r="I102" i="36"/>
  <c r="D102" i="36"/>
  <c r="C102" i="36"/>
  <c r="K101" i="36"/>
  <c r="J101" i="36"/>
  <c r="I101" i="36"/>
  <c r="D101" i="36"/>
  <c r="C101" i="36"/>
  <c r="K100" i="36"/>
  <c r="J100" i="36"/>
  <c r="I100" i="36"/>
  <c r="D100" i="36"/>
  <c r="C100" i="36"/>
  <c r="K99" i="36"/>
  <c r="J99" i="36"/>
  <c r="I99" i="36"/>
  <c r="D99" i="36"/>
  <c r="C99" i="36"/>
  <c r="K98" i="36"/>
  <c r="J98" i="36"/>
  <c r="I98" i="36"/>
  <c r="D98" i="36"/>
  <c r="C98" i="36"/>
  <c r="K97" i="36"/>
  <c r="J97" i="36"/>
  <c r="I97" i="36"/>
  <c r="D97" i="36"/>
  <c r="C97" i="36"/>
  <c r="K96" i="36"/>
  <c r="J96" i="36"/>
  <c r="I96" i="36"/>
  <c r="D96" i="36"/>
  <c r="C96" i="36"/>
  <c r="K95" i="36"/>
  <c r="J95" i="36"/>
  <c r="I95" i="36"/>
  <c r="D95" i="36"/>
  <c r="C95" i="36"/>
  <c r="K94" i="36"/>
  <c r="J94" i="36"/>
  <c r="I94" i="36"/>
  <c r="D94" i="36"/>
  <c r="C94" i="36"/>
  <c r="K93" i="36"/>
  <c r="J93" i="36"/>
  <c r="I93" i="36"/>
  <c r="D93" i="36"/>
  <c r="C93" i="36"/>
  <c r="K92" i="36"/>
  <c r="J92" i="36"/>
  <c r="I92" i="36"/>
  <c r="D92" i="36"/>
  <c r="C92" i="36"/>
  <c r="K91" i="36"/>
  <c r="J91" i="36"/>
  <c r="I91" i="36"/>
  <c r="D91" i="36"/>
  <c r="C91" i="36"/>
  <c r="K89" i="36"/>
  <c r="J89" i="36"/>
  <c r="I89" i="36"/>
  <c r="D89" i="36"/>
  <c r="C89" i="36"/>
  <c r="K88" i="36"/>
  <c r="J88" i="36"/>
  <c r="I88" i="36"/>
  <c r="D88" i="36"/>
  <c r="C88" i="36"/>
  <c r="K87" i="36"/>
  <c r="J87" i="36"/>
  <c r="I87" i="36"/>
  <c r="D87" i="36"/>
  <c r="C87" i="36"/>
  <c r="K86" i="36"/>
  <c r="J86" i="36"/>
  <c r="I86" i="36"/>
  <c r="D86" i="36"/>
  <c r="C86" i="36"/>
  <c r="K85" i="36"/>
  <c r="J85" i="36"/>
  <c r="I85" i="36"/>
  <c r="D85" i="36"/>
  <c r="C85" i="36"/>
  <c r="K84" i="36"/>
  <c r="J84" i="36"/>
  <c r="I84" i="36"/>
  <c r="D84" i="36"/>
  <c r="C84" i="36"/>
  <c r="K83" i="36"/>
  <c r="J83" i="36"/>
  <c r="I83" i="36"/>
  <c r="D83" i="36"/>
  <c r="C83" i="36"/>
  <c r="K82" i="36"/>
  <c r="J82" i="36"/>
  <c r="I82" i="36"/>
  <c r="D82" i="36"/>
  <c r="C82" i="36"/>
  <c r="K81" i="36"/>
  <c r="J81" i="36"/>
  <c r="I81" i="36"/>
  <c r="D81" i="36"/>
  <c r="C81" i="36"/>
  <c r="K80" i="36"/>
  <c r="J80" i="36"/>
  <c r="I80" i="36"/>
  <c r="D80" i="36"/>
  <c r="C80" i="36"/>
  <c r="K79" i="36"/>
  <c r="J79" i="36"/>
  <c r="I79" i="36"/>
  <c r="D79" i="36"/>
  <c r="C79" i="36"/>
  <c r="K78" i="36"/>
  <c r="J78" i="36"/>
  <c r="I78" i="36"/>
  <c r="D78" i="36"/>
  <c r="C78" i="36"/>
  <c r="K77" i="36"/>
  <c r="J77" i="36"/>
  <c r="I77" i="36"/>
  <c r="D77" i="36"/>
  <c r="C77" i="36"/>
  <c r="A77" i="36"/>
  <c r="A78" i="36" s="1"/>
  <c r="A79" i="36" s="1"/>
  <c r="A80" i="36" s="1"/>
  <c r="A81" i="36" s="1"/>
  <c r="A82" i="36" s="1"/>
  <c r="A83" i="36" s="1"/>
  <c r="A84" i="36" s="1"/>
  <c r="A85" i="36" s="1"/>
  <c r="A86" i="36" s="1"/>
  <c r="A87" i="36" s="1"/>
  <c r="A88" i="36" s="1"/>
  <c r="A89" i="36" s="1"/>
  <c r="A90" i="36" s="1"/>
  <c r="A91" i="36" s="1"/>
  <c r="K76" i="36"/>
  <c r="J76" i="36"/>
  <c r="I76" i="36"/>
  <c r="D76" i="36"/>
  <c r="C76" i="36"/>
  <c r="S72" i="36"/>
  <c r="R72" i="36"/>
  <c r="Q72" i="36"/>
  <c r="O72" i="36"/>
  <c r="N72" i="36"/>
  <c r="M72" i="36"/>
  <c r="F72" i="36"/>
  <c r="E72" i="36"/>
  <c r="A72" i="36"/>
  <c r="D26" i="5" s="1"/>
  <c r="S71" i="36"/>
  <c r="R71" i="36"/>
  <c r="Q71" i="36"/>
  <c r="O71" i="36"/>
  <c r="N71" i="36"/>
  <c r="M71" i="36"/>
  <c r="F68" i="36"/>
  <c r="E68" i="36"/>
  <c r="F67" i="36"/>
  <c r="E67" i="36"/>
  <c r="F66" i="36"/>
  <c r="E66" i="36"/>
  <c r="K65" i="36"/>
  <c r="J65" i="36"/>
  <c r="I65" i="36"/>
  <c r="D65" i="36"/>
  <c r="C65" i="36"/>
  <c r="K64" i="36"/>
  <c r="J64" i="36"/>
  <c r="I64" i="36"/>
  <c r="D64" i="36"/>
  <c r="C64" i="36"/>
  <c r="K63" i="36"/>
  <c r="J63" i="36"/>
  <c r="I63" i="36"/>
  <c r="D63" i="36"/>
  <c r="C63" i="36"/>
  <c r="K62" i="36"/>
  <c r="J62" i="36"/>
  <c r="I62" i="36"/>
  <c r="D62" i="36"/>
  <c r="C62" i="36"/>
  <c r="K61" i="36"/>
  <c r="J61" i="36"/>
  <c r="I61" i="36"/>
  <c r="D61" i="36"/>
  <c r="C61" i="36"/>
  <c r="K60" i="36"/>
  <c r="J60" i="36"/>
  <c r="I60" i="36"/>
  <c r="D60" i="36"/>
  <c r="C60" i="36"/>
  <c r="K59" i="36"/>
  <c r="J59" i="36"/>
  <c r="I59" i="36"/>
  <c r="D59" i="36"/>
  <c r="C59" i="36"/>
  <c r="K58" i="36"/>
  <c r="J58" i="36"/>
  <c r="I58" i="36"/>
  <c r="D58" i="36"/>
  <c r="C58" i="36"/>
  <c r="K57" i="36"/>
  <c r="J57" i="36"/>
  <c r="I57" i="36"/>
  <c r="D57" i="36"/>
  <c r="C57" i="36"/>
  <c r="K56" i="36"/>
  <c r="J56" i="36"/>
  <c r="I56" i="36"/>
  <c r="D56" i="36"/>
  <c r="C56" i="36"/>
  <c r="K55" i="36"/>
  <c r="J55" i="36"/>
  <c r="I55" i="36"/>
  <c r="D55" i="36"/>
  <c r="C55" i="36"/>
  <c r="K54" i="36"/>
  <c r="J54" i="36"/>
  <c r="I54" i="36"/>
  <c r="D54" i="36"/>
  <c r="C54" i="36"/>
  <c r="K53" i="36"/>
  <c r="J53" i="36"/>
  <c r="I53" i="36"/>
  <c r="D53" i="36"/>
  <c r="C53" i="36"/>
  <c r="K52" i="36"/>
  <c r="J52" i="36"/>
  <c r="I52" i="36"/>
  <c r="D52" i="36"/>
  <c r="C52" i="36"/>
  <c r="K51" i="36"/>
  <c r="J51" i="36"/>
  <c r="I51" i="36"/>
  <c r="D51" i="36"/>
  <c r="C51" i="36"/>
  <c r="K50" i="36"/>
  <c r="J50" i="36"/>
  <c r="I50" i="36"/>
  <c r="D50" i="36"/>
  <c r="C50" i="36"/>
  <c r="K49" i="36"/>
  <c r="J49" i="36"/>
  <c r="I49" i="36"/>
  <c r="D49" i="36"/>
  <c r="C49" i="36"/>
  <c r="K48" i="36"/>
  <c r="J48" i="36"/>
  <c r="I48" i="36"/>
  <c r="D48" i="36"/>
  <c r="C48" i="36"/>
  <c r="K47" i="36"/>
  <c r="J47" i="36"/>
  <c r="I47" i="36"/>
  <c r="D47" i="36"/>
  <c r="C47" i="36"/>
  <c r="K46" i="36"/>
  <c r="J46" i="36"/>
  <c r="I46" i="36"/>
  <c r="D46" i="36"/>
  <c r="C46" i="36"/>
  <c r="K45" i="36"/>
  <c r="J45" i="36"/>
  <c r="I45" i="36"/>
  <c r="D45" i="36"/>
  <c r="C45" i="36"/>
  <c r="K44" i="36"/>
  <c r="J44" i="36"/>
  <c r="I44" i="36"/>
  <c r="D44" i="36"/>
  <c r="C44" i="36"/>
  <c r="K43" i="36"/>
  <c r="J43" i="36"/>
  <c r="I43" i="36"/>
  <c r="D43" i="36"/>
  <c r="C43" i="36"/>
  <c r="K42" i="36"/>
  <c r="J42" i="36"/>
  <c r="I42" i="36"/>
  <c r="D42" i="36"/>
  <c r="C42" i="36"/>
  <c r="K41" i="36"/>
  <c r="J41" i="36"/>
  <c r="I41" i="36"/>
  <c r="D41" i="36"/>
  <c r="C41" i="36"/>
  <c r="K40" i="36"/>
  <c r="J40" i="36"/>
  <c r="I40" i="36"/>
  <c r="D40" i="36"/>
  <c r="C40" i="36"/>
  <c r="K39" i="36"/>
  <c r="J39" i="36"/>
  <c r="I39" i="36"/>
  <c r="D39" i="36"/>
  <c r="C39" i="36"/>
  <c r="K38" i="36"/>
  <c r="J38" i="36"/>
  <c r="I38" i="36"/>
  <c r="D38" i="36"/>
  <c r="C38" i="36"/>
  <c r="K37" i="36"/>
  <c r="J37" i="36"/>
  <c r="I37" i="36"/>
  <c r="D37" i="36"/>
  <c r="C37" i="36"/>
  <c r="K36" i="36"/>
  <c r="J36" i="36"/>
  <c r="I36" i="36"/>
  <c r="D36" i="36"/>
  <c r="C36" i="36"/>
  <c r="K35" i="36"/>
  <c r="J35" i="36"/>
  <c r="I35" i="36"/>
  <c r="D35" i="36"/>
  <c r="C35" i="36"/>
  <c r="K34" i="36"/>
  <c r="J34" i="36"/>
  <c r="I34" i="36"/>
  <c r="D34" i="36"/>
  <c r="C34" i="36"/>
  <c r="K33" i="36"/>
  <c r="J33" i="36"/>
  <c r="I33" i="36"/>
  <c r="D33" i="36"/>
  <c r="C33" i="36"/>
  <c r="K32" i="36"/>
  <c r="J32" i="36"/>
  <c r="I32" i="36"/>
  <c r="D32" i="36"/>
  <c r="C32" i="36"/>
  <c r="K31" i="36"/>
  <c r="J31" i="36"/>
  <c r="I31" i="36"/>
  <c r="D31" i="36"/>
  <c r="C31" i="36"/>
  <c r="K30" i="36"/>
  <c r="J30" i="36"/>
  <c r="I30" i="36"/>
  <c r="D30" i="36"/>
  <c r="C30" i="36"/>
  <c r="K29" i="36"/>
  <c r="J29" i="36"/>
  <c r="I29" i="36"/>
  <c r="D29" i="36"/>
  <c r="C29" i="36"/>
  <c r="A29" i="36"/>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K28" i="36"/>
  <c r="J28" i="36"/>
  <c r="I28" i="36"/>
  <c r="D28" i="36"/>
  <c r="C28" i="36"/>
  <c r="A24" i="36"/>
  <c r="D18" i="5" s="1"/>
  <c r="S23" i="36"/>
  <c r="R23" i="36"/>
  <c r="Q23" i="36"/>
  <c r="O23" i="36"/>
  <c r="N23" i="36"/>
  <c r="M23" i="36"/>
  <c r="F21" i="36"/>
  <c r="E21" i="36"/>
  <c r="F20" i="36"/>
  <c r="E20" i="36"/>
  <c r="F19" i="36"/>
  <c r="E19" i="36"/>
  <c r="K17" i="36"/>
  <c r="K23" i="36" s="1"/>
  <c r="J17" i="36"/>
  <c r="J23" i="36" s="1"/>
  <c r="I17" i="36"/>
  <c r="I23" i="36" s="1"/>
  <c r="D17" i="36"/>
  <c r="D23" i="36" s="1"/>
  <c r="C17" i="36"/>
  <c r="C23" i="36" s="1"/>
  <c r="B21" i="7"/>
  <c r="B11" i="7"/>
  <c r="K27" i="8"/>
  <c r="K31" i="8" s="1"/>
  <c r="G15" i="2" s="1"/>
  <c r="L15" i="2" s="1"/>
  <c r="G10" i="5"/>
  <c r="E10" i="5"/>
  <c r="O8" i="13"/>
  <c r="C9" i="7"/>
  <c r="D12" i="9"/>
  <c r="I67" i="6"/>
  <c r="K67" i="6" s="1"/>
  <c r="E67" i="6" s="1"/>
  <c r="E71" i="6"/>
  <c r="I76" i="6"/>
  <c r="K76" i="6" s="1"/>
  <c r="J78" i="6"/>
  <c r="K78" i="6" s="1"/>
  <c r="E78" i="6" s="1"/>
  <c r="J53" i="6"/>
  <c r="K53" i="6" s="1"/>
  <c r="E53" i="6" s="1"/>
  <c r="J55" i="6"/>
  <c r="K55" i="6" s="1"/>
  <c r="E55" i="6" s="1"/>
  <c r="I52" i="6"/>
  <c r="K52" i="6" s="1"/>
  <c r="E52" i="6" s="1"/>
  <c r="E17" i="2"/>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D101" i="20"/>
  <c r="C101" i="20"/>
  <c r="K96" i="20"/>
  <c r="I95" i="20"/>
  <c r="D314"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G48" i="20" s="1"/>
  <c r="F7" i="2"/>
  <c r="F53" i="2" s="1"/>
  <c r="F123" i="2" s="1"/>
  <c r="F204" i="2" s="1"/>
  <c r="F276" i="2" s="1"/>
  <c r="C112" i="34"/>
  <c r="J24" i="34"/>
  <c r="K74" i="6"/>
  <c r="E198" i="34"/>
  <c r="E186" i="34"/>
  <c r="G81" i="6"/>
  <c r="G32" i="6" s="1"/>
  <c r="K73" i="6"/>
  <c r="K72" i="6"/>
  <c r="E72" i="6" s="1"/>
  <c r="K71" i="6"/>
  <c r="K70" i="6"/>
  <c r="E70" i="6" s="1"/>
  <c r="K69" i="6"/>
  <c r="E69" i="6" s="1"/>
  <c r="K68" i="6"/>
  <c r="E68" i="6"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172" i="2" s="1"/>
  <c r="E51" i="11"/>
  <c r="E53" i="11" s="1"/>
  <c r="E55" i="11" s="1"/>
  <c r="I51" i="11"/>
  <c r="E66" i="11"/>
  <c r="E56" i="11"/>
  <c r="I66" i="11"/>
  <c r="I56" i="11"/>
  <c r="C50" i="11"/>
  <c r="M41" i="11"/>
  <c r="C31" i="34"/>
  <c r="C32" i="34" s="1"/>
  <c r="C37" i="34"/>
  <c r="C38" i="34" s="1"/>
  <c r="C43" i="34"/>
  <c r="C44" i="34" s="1"/>
  <c r="C49" i="34"/>
  <c r="E31" i="34"/>
  <c r="E32" i="34" s="1"/>
  <c r="E37" i="34"/>
  <c r="E38" i="34" s="1"/>
  <c r="E43" i="34"/>
  <c r="E44" i="34" s="1"/>
  <c r="E49" i="34"/>
  <c r="F31" i="34"/>
  <c r="F32" i="34" s="1"/>
  <c r="F37" i="34"/>
  <c r="F38" i="34" s="1"/>
  <c r="F43" i="34"/>
  <c r="F44" i="34" s="1"/>
  <c r="F49" i="34"/>
  <c r="F50" i="34" s="1"/>
  <c r="G31" i="34"/>
  <c r="G32" i="34" s="1"/>
  <c r="G37" i="34"/>
  <c r="G38" i="34" s="1"/>
  <c r="G43" i="34"/>
  <c r="G44" i="34" s="1"/>
  <c r="G49" i="34"/>
  <c r="G50" i="34" s="1"/>
  <c r="H31" i="34"/>
  <c r="H32" i="34" s="1"/>
  <c r="H37" i="34"/>
  <c r="H38" i="34" s="1"/>
  <c r="H43" i="34"/>
  <c r="H44" i="34" s="1"/>
  <c r="H49" i="34"/>
  <c r="H50" i="34" s="1"/>
  <c r="I31" i="34"/>
  <c r="I32" i="34" s="1"/>
  <c r="I37" i="34"/>
  <c r="I38" i="34" s="1"/>
  <c r="I43" i="34"/>
  <c r="I44" i="34" s="1"/>
  <c r="I49" i="34"/>
  <c r="I50" i="34" s="1"/>
  <c r="F11" i="10"/>
  <c r="F15" i="10"/>
  <c r="F19" i="10"/>
  <c r="F23" i="10"/>
  <c r="F27" i="10"/>
  <c r="C14" i="34"/>
  <c r="C63" i="34" s="1"/>
  <c r="J10" i="34"/>
  <c r="J9" i="34"/>
  <c r="J11" i="34"/>
  <c r="J13" i="34"/>
  <c r="J56" i="34"/>
  <c r="J58" i="34"/>
  <c r="J59" i="34"/>
  <c r="F14" i="34"/>
  <c r="F63" i="34" s="1"/>
  <c r="G14" i="34"/>
  <c r="G63" i="34" s="1"/>
  <c r="H14" i="34"/>
  <c r="H63" i="34" s="1"/>
  <c r="I14" i="34"/>
  <c r="I63" i="34" s="1"/>
  <c r="J19" i="34"/>
  <c r="J20" i="34"/>
  <c r="J21" i="34"/>
  <c r="J22" i="34"/>
  <c r="J23" i="34"/>
  <c r="D21" i="9"/>
  <c r="G139" i="2" s="1"/>
  <c r="G57" i="6"/>
  <c r="G31" i="6" s="1"/>
  <c r="C21" i="7"/>
  <c r="C23" i="7" s="1"/>
  <c r="G116" i="2" s="1"/>
  <c r="L116" i="2" s="1"/>
  <c r="O17" i="21"/>
  <c r="O22" i="21"/>
  <c r="O27" i="21"/>
  <c r="A10" i="34"/>
  <c r="A11" i="34" s="1"/>
  <c r="A12" i="34" s="1"/>
  <c r="A13" i="34" s="1"/>
  <c r="A14" i="34" s="1"/>
  <c r="A19" i="9"/>
  <c r="A20" i="9" s="1"/>
  <c r="A21" i="9" s="1"/>
  <c r="A24" i="9" s="1"/>
  <c r="A25" i="9" s="1"/>
  <c r="A26" i="9" s="1"/>
  <c r="A27" i="9" s="1"/>
  <c r="A28" i="9" s="1"/>
  <c r="A29" i="9" s="1"/>
  <c r="A30" i="9" s="1"/>
  <c r="A31" i="9" s="1"/>
  <c r="A32" i="9" s="1"/>
  <c r="A33" i="9" s="1"/>
  <c r="F118" i="34"/>
  <c r="F119" i="34" s="1"/>
  <c r="F124" i="34"/>
  <c r="F130" i="34"/>
  <c r="F131" i="34" s="1"/>
  <c r="F136" i="34"/>
  <c r="F137" i="34" s="1"/>
  <c r="F183" i="34"/>
  <c r="F184" i="34"/>
  <c r="F185" i="34"/>
  <c r="F186" i="34"/>
  <c r="F187" i="34"/>
  <c r="F206" i="34"/>
  <c r="F208" i="34"/>
  <c r="F209" i="34"/>
  <c r="F193" i="34"/>
  <c r="F194" i="34"/>
  <c r="F195" i="34"/>
  <c r="F196" i="34"/>
  <c r="F197" i="34"/>
  <c r="F198" i="34"/>
  <c r="E118" i="34"/>
  <c r="E119" i="34" s="1"/>
  <c r="E124" i="34"/>
  <c r="E130" i="34"/>
  <c r="E131" i="34" s="1"/>
  <c r="E136" i="34"/>
  <c r="E137" i="34" s="1"/>
  <c r="G118" i="34"/>
  <c r="G124" i="34"/>
  <c r="G125" i="34" s="1"/>
  <c r="G130" i="34"/>
  <c r="G136" i="34"/>
  <c r="G137" i="34" s="1"/>
  <c r="H118" i="34"/>
  <c r="H124" i="34"/>
  <c r="H125" i="34" s="1"/>
  <c r="H130" i="34"/>
  <c r="H131" i="34" s="1"/>
  <c r="H136" i="34"/>
  <c r="H137" i="34" s="1"/>
  <c r="I118" i="34"/>
  <c r="I119" i="34" s="1"/>
  <c r="I124" i="34"/>
  <c r="I130" i="34"/>
  <c r="I131" i="34" s="1"/>
  <c r="I136" i="34"/>
  <c r="I137" i="34" s="1"/>
  <c r="C118" i="34"/>
  <c r="C124" i="34"/>
  <c r="C125" i="34" s="1"/>
  <c r="C130" i="34"/>
  <c r="C131" i="34" s="1"/>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L261" i="2" s="1"/>
  <c r="E206" i="34"/>
  <c r="G206" i="34"/>
  <c r="H206" i="34"/>
  <c r="I206" i="34"/>
  <c r="C208" i="34"/>
  <c r="J208" i="34" s="1"/>
  <c r="L263" i="2" s="1"/>
  <c r="E208" i="34"/>
  <c r="G208" i="34"/>
  <c r="H208" i="34"/>
  <c r="I208" i="34"/>
  <c r="C209" i="34"/>
  <c r="J209" i="34" s="1"/>
  <c r="L264" i="2" s="1"/>
  <c r="E209" i="34"/>
  <c r="G209" i="34"/>
  <c r="H209" i="34"/>
  <c r="I209" i="34"/>
  <c r="J96" i="34"/>
  <c r="J97" i="34"/>
  <c r="J98" i="34"/>
  <c r="J99" i="34"/>
  <c r="J100" i="34"/>
  <c r="J143" i="34"/>
  <c r="J145" i="34"/>
  <c r="J146" i="34"/>
  <c r="A6" i="12"/>
  <c r="F25" i="34"/>
  <c r="G25" i="34"/>
  <c r="H25" i="34"/>
  <c r="I25" i="34"/>
  <c r="C101" i="34"/>
  <c r="C150" i="34" s="1"/>
  <c r="E101" i="34"/>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21" i="6"/>
  <c r="G108" i="2" s="1"/>
  <c r="I23" i="6"/>
  <c r="G109" i="2" s="1"/>
  <c r="G193" i="2"/>
  <c r="L193" i="2" s="1"/>
  <c r="A14" i="31"/>
  <c r="A22" i="31" s="1"/>
  <c r="C60" i="13"/>
  <c r="K33" i="21"/>
  <c r="A22" i="21"/>
  <c r="A27" i="21" s="1"/>
  <c r="A33" i="21" s="1"/>
  <c r="D195" i="2" s="1"/>
  <c r="A6" i="21"/>
  <c r="M20" i="13"/>
  <c r="L26" i="20"/>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J13" i="8"/>
  <c r="A15" i="8"/>
  <c r="A17" i="8" s="1"/>
  <c r="J15" i="8"/>
  <c r="A27" i="8"/>
  <c r="A29" i="8" s="1"/>
  <c r="A31" i="8" s="1"/>
  <c r="E15" i="2" s="1"/>
  <c r="J17" i="8"/>
  <c r="J19" i="8"/>
  <c r="J29" i="8"/>
  <c r="A15" i="7"/>
  <c r="A17" i="7" s="1"/>
  <c r="A18" i="7" s="1"/>
  <c r="A19" i="7" s="1"/>
  <c r="A21" i="7" s="1"/>
  <c r="B23" i="7" s="1"/>
  <c r="A17" i="6"/>
  <c r="E106" i="2" s="1"/>
  <c r="A17" i="5"/>
  <c r="A18" i="5" s="1"/>
  <c r="A19" i="5" s="1"/>
  <c r="F51" i="2"/>
  <c r="F121" i="2" s="1"/>
  <c r="F202" i="2" s="1"/>
  <c r="F274" i="2" s="1"/>
  <c r="F52" i="2"/>
  <c r="F122" i="2" s="1"/>
  <c r="F203" i="2" s="1"/>
  <c r="F275" i="2" s="1"/>
  <c r="F55" i="2"/>
  <c r="F125" i="2" s="1"/>
  <c r="F206" i="2" s="1"/>
  <c r="F278" i="2" s="1"/>
  <c r="B61" i="2"/>
  <c r="B131" i="2" s="1"/>
  <c r="B62" i="2"/>
  <c r="B132" i="2" s="1"/>
  <c r="D73" i="2"/>
  <c r="D83" i="2" s="1"/>
  <c r="D75" i="2"/>
  <c r="D84" i="2" s="1"/>
  <c r="D77" i="2"/>
  <c r="D85" i="2" s="1"/>
  <c r="E129" i="2"/>
  <c r="L129" i="2"/>
  <c r="E130" i="2"/>
  <c r="G130" i="2"/>
  <c r="I130" i="2"/>
  <c r="L130" i="2"/>
  <c r="D161" i="2"/>
  <c r="B15" i="2"/>
  <c r="B17" i="2" s="1"/>
  <c r="B18" i="2" s="1"/>
  <c r="B24" i="2" s="1"/>
  <c r="B26" i="2" s="1"/>
  <c r="B27" i="2" s="1"/>
  <c r="E25" i="34"/>
  <c r="E14" i="34"/>
  <c r="E63" i="34" s="1"/>
  <c r="J12" i="34"/>
  <c r="C25" i="34"/>
  <c r="C198" i="34"/>
  <c r="L87" i="13"/>
  <c r="I44" i="6"/>
  <c r="K44" i="6" s="1"/>
  <c r="E44" i="6" s="1"/>
  <c r="J80" i="6"/>
  <c r="K80" i="6" s="1"/>
  <c r="I75" i="6"/>
  <c r="K75" i="6" s="1"/>
  <c r="I50" i="6"/>
  <c r="K50" i="6" s="1"/>
  <c r="E50" i="6" s="1"/>
  <c r="J79" i="6"/>
  <c r="K79" i="6" s="1"/>
  <c r="E79" i="6" s="1"/>
  <c r="E74" i="6"/>
  <c r="I43" i="6"/>
  <c r="K43" i="6" s="1"/>
  <c r="E43" i="6" s="1"/>
  <c r="J56" i="6"/>
  <c r="K56" i="6" s="1"/>
  <c r="J77" i="6"/>
  <c r="I45" i="6"/>
  <c r="K45" i="6" s="1"/>
  <c r="E45" i="6" s="1"/>
  <c r="I51" i="6"/>
  <c r="K51" i="6" s="1"/>
  <c r="E51" i="6" s="1"/>
  <c r="J54" i="6"/>
  <c r="I47" i="6"/>
  <c r="K47" i="6" s="1"/>
  <c r="E47" i="6" s="1"/>
  <c r="I48" i="6"/>
  <c r="K48" i="6" s="1"/>
  <c r="E48" i="6" s="1"/>
  <c r="I46" i="6"/>
  <c r="K46" i="6" s="1"/>
  <c r="E46" i="6" s="1"/>
  <c r="I49" i="6"/>
  <c r="K49" i="6" s="1"/>
  <c r="E49" i="6" s="1"/>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J97" i="13"/>
  <c r="E100" i="13" s="1"/>
  <c r="I98" i="20"/>
  <c r="E101" i="20" s="1"/>
  <c r="M100" i="13"/>
  <c r="M101" i="13"/>
  <c r="O100" i="13"/>
  <c r="O101" i="13"/>
  <c r="N90" i="20"/>
  <c r="G51" i="5"/>
  <c r="I50" i="5"/>
  <c r="I49" i="5"/>
  <c r="C22" i="35"/>
  <c r="L232" i="2"/>
  <c r="I17" i="6"/>
  <c r="G106" i="2" s="1"/>
  <c r="H228" i="2"/>
  <c r="F233" i="2"/>
  <c r="G11" i="39"/>
  <c r="A29" i="38" l="1"/>
  <c r="A30" i="38" s="1"/>
  <c r="A31" i="38" s="1"/>
  <c r="A32" i="38" s="1"/>
  <c r="A33" i="38" s="1"/>
  <c r="A34" i="38" s="1"/>
  <c r="A35" i="38" s="1"/>
  <c r="A36" i="38" s="1"/>
  <c r="A37" i="38" s="1"/>
  <c r="A38" i="38" s="1"/>
  <c r="A39" i="38" s="1"/>
  <c r="A40" i="38" s="1"/>
  <c r="A41" i="38" s="1"/>
  <c r="A42" i="38" s="1"/>
  <c r="A49" i="38" s="1"/>
  <c r="A50" i="38" s="1"/>
  <c r="A51" i="38" s="1"/>
  <c r="A52" i="38" s="1"/>
  <c r="A53" i="38" s="1"/>
  <c r="A54" i="38" s="1"/>
  <c r="A55" i="38" s="1"/>
  <c r="A56" i="38" s="1"/>
  <c r="A57" i="38" s="1"/>
  <c r="A58" i="38" s="1"/>
  <c r="A59" i="38" s="1"/>
  <c r="A60" i="38" s="1"/>
  <c r="A61" i="38" s="1"/>
  <c r="A62" i="38" s="1"/>
  <c r="C64" i="38"/>
  <c r="G96" i="36"/>
  <c r="G85" i="36"/>
  <c r="F101" i="20"/>
  <c r="D102" i="20" s="1"/>
  <c r="E102" i="20" s="1"/>
  <c r="F102" i="20" s="1"/>
  <c r="D103" i="20" s="1"/>
  <c r="K197" i="36"/>
  <c r="G144" i="36"/>
  <c r="O26" i="20"/>
  <c r="L36" i="2" s="1"/>
  <c r="F100" i="13"/>
  <c r="G100" i="13" s="1"/>
  <c r="E64" i="2"/>
  <c r="E67" i="2"/>
  <c r="G61" i="36"/>
  <c r="G19" i="36"/>
  <c r="G35" i="36"/>
  <c r="G65" i="37"/>
  <c r="G166" i="34"/>
  <c r="I184" i="36"/>
  <c r="G76" i="36"/>
  <c r="G19" i="37"/>
  <c r="G194" i="36"/>
  <c r="G97" i="37"/>
  <c r="G101" i="37"/>
  <c r="F87" i="38"/>
  <c r="G102" i="2" s="1"/>
  <c r="G77" i="36"/>
  <c r="G30" i="36"/>
  <c r="G46" i="36"/>
  <c r="G68" i="36"/>
  <c r="G49" i="37"/>
  <c r="G93" i="36"/>
  <c r="G117" i="36"/>
  <c r="G133" i="36"/>
  <c r="G130" i="36"/>
  <c r="G53" i="37"/>
  <c r="G77" i="37"/>
  <c r="G85" i="37"/>
  <c r="G93" i="37"/>
  <c r="G31" i="36"/>
  <c r="G39" i="36"/>
  <c r="G87" i="37"/>
  <c r="G95" i="37"/>
  <c r="G54" i="36"/>
  <c r="G171" i="36"/>
  <c r="G17" i="37"/>
  <c r="G106" i="36"/>
  <c r="G125" i="36"/>
  <c r="G73" i="37"/>
  <c r="G30" i="37"/>
  <c r="D72" i="36"/>
  <c r="G78" i="36"/>
  <c r="A183" i="36"/>
  <c r="D35" i="5" s="1"/>
  <c r="G39" i="37"/>
  <c r="G74" i="37"/>
  <c r="L243" i="2"/>
  <c r="G250" i="2" s="1"/>
  <c r="J250" i="2" s="1"/>
  <c r="E22" i="20" s="1"/>
  <c r="G49" i="36"/>
  <c r="G65" i="36"/>
  <c r="G21" i="36"/>
  <c r="A81" i="13"/>
  <c r="J197" i="36"/>
  <c r="G143" i="36"/>
  <c r="F48" i="13"/>
  <c r="E23" i="36"/>
  <c r="G51" i="36"/>
  <c r="C197" i="36"/>
  <c r="J193" i="34"/>
  <c r="G27" i="37"/>
  <c r="I79" i="34"/>
  <c r="G80" i="36"/>
  <c r="G26" i="37"/>
  <c r="G61" i="37"/>
  <c r="G107" i="37"/>
  <c r="G79" i="36"/>
  <c r="G95" i="36"/>
  <c r="G103" i="36"/>
  <c r="G127" i="36"/>
  <c r="G135" i="36"/>
  <c r="G146" i="36"/>
  <c r="G154" i="36"/>
  <c r="G98" i="37"/>
  <c r="G25" i="37"/>
  <c r="G32" i="36"/>
  <c r="G40" i="36"/>
  <c r="G108" i="36"/>
  <c r="G116" i="36"/>
  <c r="G124" i="36"/>
  <c r="G132" i="36"/>
  <c r="G86" i="37"/>
  <c r="H188" i="34"/>
  <c r="H213" i="34" s="1"/>
  <c r="H216" i="34" s="1"/>
  <c r="G42" i="36"/>
  <c r="E71" i="36"/>
  <c r="G110" i="36"/>
  <c r="G126" i="36"/>
  <c r="G142" i="36"/>
  <c r="G153" i="36"/>
  <c r="G161" i="36"/>
  <c r="G173" i="36"/>
  <c r="G24" i="37"/>
  <c r="G59" i="37"/>
  <c r="G67" i="37"/>
  <c r="G28" i="36"/>
  <c r="G53" i="36"/>
  <c r="G100" i="36"/>
  <c r="G140" i="36"/>
  <c r="G36" i="37"/>
  <c r="G68" i="37"/>
  <c r="J110" i="37"/>
  <c r="G50" i="36"/>
  <c r="G63" i="36"/>
  <c r="G89" i="36"/>
  <c r="G97" i="36"/>
  <c r="G121" i="36"/>
  <c r="G129" i="36"/>
  <c r="G137" i="36"/>
  <c r="G148" i="36"/>
  <c r="G156" i="36"/>
  <c r="G164" i="36"/>
  <c r="G195" i="36"/>
  <c r="F79" i="34"/>
  <c r="D184" i="36"/>
  <c r="G83" i="36"/>
  <c r="G150" i="36"/>
  <c r="D109" i="37"/>
  <c r="G35" i="37"/>
  <c r="G51" i="37"/>
  <c r="G103" i="37"/>
  <c r="C79" i="34"/>
  <c r="K72" i="36"/>
  <c r="G44" i="36"/>
  <c r="G67" i="36"/>
  <c r="F53" i="34"/>
  <c r="F203" i="34" s="1"/>
  <c r="G33" i="6"/>
  <c r="G112" i="2" s="1"/>
  <c r="L112" i="2" s="1"/>
  <c r="F23" i="36"/>
  <c r="G160" i="36"/>
  <c r="G40" i="37"/>
  <c r="H52" i="34"/>
  <c r="H64" i="34" s="1"/>
  <c r="G29" i="37"/>
  <c r="G42" i="37"/>
  <c r="A82" i="20"/>
  <c r="B23" i="40"/>
  <c r="G88" i="36"/>
  <c r="G104" i="36"/>
  <c r="G112" i="36"/>
  <c r="G115" i="36"/>
  <c r="G120" i="36"/>
  <c r="G128" i="36"/>
  <c r="G147" i="36"/>
  <c r="G170" i="36"/>
  <c r="G174" i="36"/>
  <c r="G21" i="37"/>
  <c r="G38" i="37"/>
  <c r="G41" i="37"/>
  <c r="G57" i="37"/>
  <c r="G81" i="37"/>
  <c r="G92" i="37"/>
  <c r="H166" i="34"/>
  <c r="O33" i="21"/>
  <c r="G195" i="2" s="1"/>
  <c r="J25" i="34"/>
  <c r="I53" i="34"/>
  <c r="I203" i="34" s="1"/>
  <c r="G53" i="34"/>
  <c r="G203" i="34" s="1"/>
  <c r="G29" i="36"/>
  <c r="G56" i="36"/>
  <c r="I177" i="36"/>
  <c r="I183" i="36" s="1"/>
  <c r="C71" i="36"/>
  <c r="H79" i="34"/>
  <c r="K71" i="36"/>
  <c r="C72" i="36"/>
  <c r="G87" i="36"/>
  <c r="G109" i="36"/>
  <c r="G152" i="36"/>
  <c r="G157" i="36"/>
  <c r="G165" i="36"/>
  <c r="G43" i="37"/>
  <c r="G48" i="37"/>
  <c r="G78" i="37"/>
  <c r="G83" i="37"/>
  <c r="G102" i="37"/>
  <c r="J194" i="34"/>
  <c r="C109" i="37"/>
  <c r="J177" i="36"/>
  <c r="J183" i="36" s="1"/>
  <c r="G84" i="36"/>
  <c r="G167" i="36"/>
  <c r="G57" i="36"/>
  <c r="E18" i="2"/>
  <c r="J101" i="34"/>
  <c r="J150" i="34" s="1"/>
  <c r="G33" i="36"/>
  <c r="J72" i="36"/>
  <c r="G36" i="36"/>
  <c r="G41" i="36"/>
  <c r="G47" i="36"/>
  <c r="G60" i="36"/>
  <c r="G86" i="36"/>
  <c r="G151" i="36"/>
  <c r="F177" i="36"/>
  <c r="F183" i="36" s="1"/>
  <c r="G28" i="37"/>
  <c r="G31" i="37"/>
  <c r="G47" i="37"/>
  <c r="G96" i="37"/>
  <c r="E28" i="2"/>
  <c r="D30" i="2"/>
  <c r="B28" i="2"/>
  <c r="B30" i="2" s="1"/>
  <c r="B31" i="2" s="1"/>
  <c r="D33" i="2" s="1"/>
  <c r="E245" i="2"/>
  <c r="E244" i="2"/>
  <c r="E242" i="2"/>
  <c r="E243" i="2"/>
  <c r="A16" i="34"/>
  <c r="B13" i="34" s="1"/>
  <c r="B63" i="34"/>
  <c r="E100" i="2"/>
  <c r="A84" i="38"/>
  <c r="A87" i="38" s="1"/>
  <c r="J31" i="34"/>
  <c r="J137" i="34"/>
  <c r="G172" i="36"/>
  <c r="G17" i="36"/>
  <c r="E61" i="11"/>
  <c r="E63" i="11" s="1"/>
  <c r="E65" i="11" s="1"/>
  <c r="J197" i="34"/>
  <c r="G101" i="36"/>
  <c r="G52" i="37"/>
  <c r="G66" i="37"/>
  <c r="G69" i="37"/>
  <c r="J37" i="34"/>
  <c r="J136" i="34"/>
  <c r="G122" i="36"/>
  <c r="G163" i="36"/>
  <c r="G169" i="36"/>
  <c r="G22" i="37"/>
  <c r="G60" i="37"/>
  <c r="G71" i="37"/>
  <c r="G79" i="37"/>
  <c r="G82" i="37"/>
  <c r="G100" i="37"/>
  <c r="G104" i="37"/>
  <c r="D177" i="36"/>
  <c r="D183" i="36" s="1"/>
  <c r="I52" i="34"/>
  <c r="G52" i="34"/>
  <c r="G57" i="34" s="1"/>
  <c r="G60" i="34" s="1"/>
  <c r="G65" i="34" s="1"/>
  <c r="E139" i="2"/>
  <c r="J198" i="34"/>
  <c r="D71" i="36"/>
  <c r="G81" i="36"/>
  <c r="K109" i="37"/>
  <c r="G37" i="37"/>
  <c r="G76" i="37"/>
  <c r="E177" i="36"/>
  <c r="E183" i="36" s="1"/>
  <c r="G105" i="36"/>
  <c r="D197" i="36"/>
  <c r="G79" i="34"/>
  <c r="K184" i="36"/>
  <c r="G134" i="36"/>
  <c r="G159" i="36"/>
  <c r="G50" i="37"/>
  <c r="G75" i="37"/>
  <c r="C110" i="37"/>
  <c r="G34" i="36"/>
  <c r="J14" i="34"/>
  <c r="J63" i="34" s="1"/>
  <c r="C166" i="34"/>
  <c r="G37" i="36"/>
  <c r="G62" i="36"/>
  <c r="G91" i="36"/>
  <c r="G107" i="36"/>
  <c r="G139" i="36"/>
  <c r="I197" i="36"/>
  <c r="G44" i="37"/>
  <c r="G55" i="37"/>
  <c r="I110" i="37"/>
  <c r="J57" i="6"/>
  <c r="J31" i="6" s="1"/>
  <c r="K54" i="6"/>
  <c r="G131" i="34"/>
  <c r="J131" i="34" s="1"/>
  <c r="J130" i="34"/>
  <c r="A21" i="6"/>
  <c r="G20" i="37"/>
  <c r="F166" i="34"/>
  <c r="F125" i="34"/>
  <c r="F140" i="34" s="1"/>
  <c r="F139" i="34"/>
  <c r="E50" i="34"/>
  <c r="E53" i="34" s="1"/>
  <c r="E203" i="34" s="1"/>
  <c r="E52" i="34"/>
  <c r="C50" i="34"/>
  <c r="C53" i="34" s="1"/>
  <c r="J49" i="34"/>
  <c r="C52" i="34"/>
  <c r="C57" i="34" s="1"/>
  <c r="C60" i="34" s="1"/>
  <c r="C65" i="34" s="1"/>
  <c r="I109" i="37"/>
  <c r="J109" i="37"/>
  <c r="E171" i="2"/>
  <c r="A23" i="31"/>
  <c r="I166" i="34"/>
  <c r="E125" i="34"/>
  <c r="E140" i="34" s="1"/>
  <c r="E139" i="34"/>
  <c r="J124" i="34"/>
  <c r="F188" i="34"/>
  <c r="F213" i="34" s="1"/>
  <c r="F216" i="34" s="1"/>
  <c r="F218" i="34" s="1"/>
  <c r="J44" i="34"/>
  <c r="F80" i="38"/>
  <c r="G100" i="2" s="1"/>
  <c r="L100" i="2" s="1"/>
  <c r="I125" i="34"/>
  <c r="I139" i="34"/>
  <c r="K77" i="6"/>
  <c r="E77" i="6" s="1"/>
  <c r="J81" i="6"/>
  <c r="J32" i="6" s="1"/>
  <c r="G139" i="34"/>
  <c r="G119" i="34"/>
  <c r="F71" i="36"/>
  <c r="G66" i="36"/>
  <c r="K177" i="36"/>
  <c r="K183" i="36" s="1"/>
  <c r="J118" i="34"/>
  <c r="C177" i="36"/>
  <c r="C183" i="36" s="1"/>
  <c r="A29" i="39"/>
  <c r="A30" i="39" s="1"/>
  <c r="A31" i="39" s="1"/>
  <c r="A32" i="39" s="1"/>
  <c r="A33" i="39" s="1"/>
  <c r="A34" i="39" s="1"/>
  <c r="A35" i="39" s="1"/>
  <c r="A36" i="39" s="1"/>
  <c r="A37" i="39" s="1"/>
  <c r="A38" i="39" s="1"/>
  <c r="A39" i="39" s="1"/>
  <c r="A40" i="39" s="1"/>
  <c r="A41" i="39" s="1"/>
  <c r="A42" i="39" s="1"/>
  <c r="A48" i="39" s="1"/>
  <c r="A49" i="39" s="1"/>
  <c r="F52" i="34"/>
  <c r="C119" i="34"/>
  <c r="C140" i="34" s="1"/>
  <c r="E65" i="2"/>
  <c r="A23" i="7"/>
  <c r="E116" i="2" s="1"/>
  <c r="E98" i="2"/>
  <c r="I188" i="34"/>
  <c r="I213" i="34" s="1"/>
  <c r="I216" i="34" s="1"/>
  <c r="J183" i="34"/>
  <c r="J188" i="34" s="1"/>
  <c r="J213" i="34" s="1"/>
  <c r="C188" i="34"/>
  <c r="C213" i="34" s="1"/>
  <c r="C216" i="34" s="1"/>
  <c r="C218" i="34" s="1"/>
  <c r="I199" i="34"/>
  <c r="G99" i="36"/>
  <c r="G181" i="36"/>
  <c r="G46" i="37"/>
  <c r="G106" i="37"/>
  <c r="G48" i="36"/>
  <c r="G58" i="37"/>
  <c r="B74" i="39"/>
  <c r="J43" i="34"/>
  <c r="C139" i="34"/>
  <c r="E109" i="37"/>
  <c r="E66" i="2"/>
  <c r="G55" i="36"/>
  <c r="G58" i="36"/>
  <c r="G82" i="36"/>
  <c r="G113" i="36"/>
  <c r="G33" i="37"/>
  <c r="G63" i="37"/>
  <c r="G70" i="37"/>
  <c r="D110" i="37"/>
  <c r="G88" i="37"/>
  <c r="G99" i="37"/>
  <c r="E166" i="34"/>
  <c r="J196" i="34"/>
  <c r="H199" i="34"/>
  <c r="J71" i="36"/>
  <c r="I72" i="36"/>
  <c r="G45" i="36"/>
  <c r="G52" i="36"/>
  <c r="G59" i="36"/>
  <c r="J184" i="36"/>
  <c r="G111" i="36"/>
  <c r="G34" i="37"/>
  <c r="G56" i="37"/>
  <c r="G64" i="37"/>
  <c r="G80" i="37"/>
  <c r="E79" i="34"/>
  <c r="G199" i="34"/>
  <c r="E199" i="34"/>
  <c r="H53" i="34"/>
  <c r="H203" i="34" s="1"/>
  <c r="G64" i="36"/>
  <c r="G94" i="36"/>
  <c r="G98" i="36"/>
  <c r="G102" i="36"/>
  <c r="C184" i="36"/>
  <c r="G118" i="36"/>
  <c r="G119" i="36"/>
  <c r="G123" i="36"/>
  <c r="G131" i="36"/>
  <c r="G138" i="36"/>
  <c r="G141" i="36"/>
  <c r="G158" i="36"/>
  <c r="G166" i="36"/>
  <c r="G180" i="36"/>
  <c r="G23" i="37"/>
  <c r="G45" i="37"/>
  <c r="G54" i="37"/>
  <c r="G62" i="37"/>
  <c r="G72" i="37"/>
  <c r="K110" i="37"/>
  <c r="G84" i="37"/>
  <c r="P140" i="13"/>
  <c r="P130" i="13"/>
  <c r="H229" i="2"/>
  <c r="H233" i="2" s="1"/>
  <c r="P110" i="13"/>
  <c r="H33" i="39"/>
  <c r="H37" i="39"/>
  <c r="G233" i="2"/>
  <c r="P115" i="13"/>
  <c r="P129" i="13"/>
  <c r="M89" i="13"/>
  <c r="N22" i="13" s="1"/>
  <c r="M88" i="13"/>
  <c r="N21" i="13" s="1"/>
  <c r="N89" i="13"/>
  <c r="O22" i="13" s="1"/>
  <c r="N88" i="13"/>
  <c r="I53" i="11"/>
  <c r="I55" i="11" s="1"/>
  <c r="I61" i="11"/>
  <c r="I63" i="11" s="1"/>
  <c r="I65" i="11" s="1"/>
  <c r="C32" i="35"/>
  <c r="C24" i="35"/>
  <c r="C31" i="35"/>
  <c r="C23" i="35"/>
  <c r="C30" i="35"/>
  <c r="C28" i="35"/>
  <c r="C27" i="35"/>
  <c r="C29" i="35"/>
  <c r="C33" i="40"/>
  <c r="A33" i="40"/>
  <c r="E152" i="2" s="1"/>
  <c r="A20" i="5"/>
  <c r="D20" i="5"/>
  <c r="J32" i="34"/>
  <c r="C25" i="35"/>
  <c r="C26" i="35"/>
  <c r="I51" i="5"/>
  <c r="G95" i="2" s="1"/>
  <c r="E137" i="2"/>
  <c r="A36" i="9"/>
  <c r="A37" i="9" s="1"/>
  <c r="A38" i="9" s="1"/>
  <c r="A39" i="9" s="1"/>
  <c r="A40" i="9" s="1"/>
  <c r="A41" i="9" s="1"/>
  <c r="A44" i="9" s="1"/>
  <c r="J38" i="34"/>
  <c r="E169" i="2"/>
  <c r="A48" i="11"/>
  <c r="E173" i="2"/>
  <c r="J195" i="34"/>
  <c r="C199" i="34"/>
  <c r="H119" i="34"/>
  <c r="H139" i="34"/>
  <c r="J112" i="34"/>
  <c r="F29" i="10"/>
  <c r="F358" i="2" s="1"/>
  <c r="G177" i="2" s="1"/>
  <c r="G181" i="2" s="1"/>
  <c r="G187" i="2" s="1"/>
  <c r="C30" i="40"/>
  <c r="E150" i="34"/>
  <c r="G188" i="34"/>
  <c r="G213" i="34" s="1"/>
  <c r="F199" i="34"/>
  <c r="E188" i="34"/>
  <c r="E213" i="34" s="1"/>
  <c r="P108" i="13"/>
  <c r="P148" i="13"/>
  <c r="G20" i="36"/>
  <c r="G43" i="36"/>
  <c r="G92" i="36"/>
  <c r="G114" i="36"/>
  <c r="G136" i="36"/>
  <c r="E55" i="39"/>
  <c r="L239" i="2" s="1"/>
  <c r="I71" i="36"/>
  <c r="G38" i="36"/>
  <c r="S27" i="21"/>
  <c r="G18" i="37"/>
  <c r="G91" i="37"/>
  <c r="G94" i="37"/>
  <c r="F109" i="37"/>
  <c r="G105" i="37"/>
  <c r="D30" i="40"/>
  <c r="D33" i="40" s="1"/>
  <c r="G152" i="2" s="1"/>
  <c r="G145" i="36"/>
  <c r="G149" i="36"/>
  <c r="G155" i="36"/>
  <c r="G162" i="36"/>
  <c r="G168" i="36"/>
  <c r="G32" i="37"/>
  <c r="G89" i="37"/>
  <c r="H31" i="39"/>
  <c r="H35" i="39"/>
  <c r="H39" i="39"/>
  <c r="S17" i="21"/>
  <c r="S22" i="21"/>
  <c r="P116" i="13"/>
  <c r="P118" i="13"/>
  <c r="P122" i="13"/>
  <c r="P124" i="13"/>
  <c r="P146" i="13"/>
  <c r="P149" i="13"/>
  <c r="P151" i="13"/>
  <c r="P153" i="13"/>
  <c r="P155" i="13"/>
  <c r="P117" i="13"/>
  <c r="P119" i="13"/>
  <c r="P121" i="13"/>
  <c r="P141" i="13"/>
  <c r="P145" i="13"/>
  <c r="P147" i="13"/>
  <c r="H36" i="39"/>
  <c r="I10" i="35"/>
  <c r="J54" i="35" s="1"/>
  <c r="I10" i="41"/>
  <c r="J54" i="41" s="1"/>
  <c r="I26" i="5"/>
  <c r="P103" i="13"/>
  <c r="P105" i="13"/>
  <c r="P111" i="13"/>
  <c r="P113" i="13"/>
  <c r="P142" i="13"/>
  <c r="P156" i="13"/>
  <c r="P158" i="13"/>
  <c r="P125" i="13"/>
  <c r="P133" i="13"/>
  <c r="P135" i="13"/>
  <c r="P150" i="13"/>
  <c r="P101" i="13"/>
  <c r="P128" i="13"/>
  <c r="P132" i="13"/>
  <c r="P138" i="13"/>
  <c r="H32" i="39"/>
  <c r="P100" i="13"/>
  <c r="P107" i="13"/>
  <c r="P109" i="13"/>
  <c r="P123" i="13"/>
  <c r="P126" i="13"/>
  <c r="P134" i="13"/>
  <c r="P144" i="13"/>
  <c r="P157" i="13"/>
  <c r="P159" i="13"/>
  <c r="H41" i="39"/>
  <c r="G63" i="2"/>
  <c r="G67" i="2"/>
  <c r="G77" i="2"/>
  <c r="G75" i="2"/>
  <c r="H38" i="39"/>
  <c r="P102" i="13"/>
  <c r="P104" i="13"/>
  <c r="P106" i="13"/>
  <c r="P112" i="13"/>
  <c r="P114" i="13"/>
  <c r="P120" i="13"/>
  <c r="P127" i="13"/>
  <c r="P137" i="13"/>
  <c r="P139" i="13"/>
  <c r="P143" i="13"/>
  <c r="P152" i="13"/>
  <c r="P154" i="13"/>
  <c r="H40" i="39"/>
  <c r="I42" i="5"/>
  <c r="H29" i="39"/>
  <c r="H30" i="39"/>
  <c r="H34" i="39"/>
  <c r="P136" i="13"/>
  <c r="L242" i="2"/>
  <c r="G10" i="39"/>
  <c r="G23" i="39" s="1"/>
  <c r="I34" i="5"/>
  <c r="P131" i="13"/>
  <c r="G65" i="2"/>
  <c r="E73" i="2" l="1"/>
  <c r="E76" i="2"/>
  <c r="E77" i="2"/>
  <c r="E74" i="2"/>
  <c r="E75" i="2"/>
  <c r="L212" i="2"/>
  <c r="L215" i="2" s="1"/>
  <c r="L63" i="2" s="1"/>
  <c r="G70" i="2"/>
  <c r="G80" i="34"/>
  <c r="D101" i="13"/>
  <c r="E101" i="13" s="1"/>
  <c r="F101" i="13" s="1"/>
  <c r="D102" i="13" s="1"/>
  <c r="G184" i="36"/>
  <c r="L246" i="2"/>
  <c r="G251" i="2" s="1"/>
  <c r="G202" i="34"/>
  <c r="G230" i="34" s="1"/>
  <c r="A184" i="36"/>
  <c r="A186" i="36" s="1"/>
  <c r="A188" i="36" s="1"/>
  <c r="A190" i="36" s="1"/>
  <c r="G140" i="34"/>
  <c r="G197" i="36"/>
  <c r="G110" i="37"/>
  <c r="E22" i="13"/>
  <c r="H80" i="34"/>
  <c r="H57" i="34"/>
  <c r="H60" i="34" s="1"/>
  <c r="H65" i="34" s="1"/>
  <c r="H66" i="34" s="1"/>
  <c r="H68" i="34" s="1"/>
  <c r="H84" i="34" s="1"/>
  <c r="H87" i="34" s="1"/>
  <c r="G72" i="36"/>
  <c r="G23" i="36"/>
  <c r="H218" i="34"/>
  <c r="G64" i="34"/>
  <c r="G66" i="34" s="1"/>
  <c r="G69" i="34" s="1"/>
  <c r="F229" i="34"/>
  <c r="F234" i="34" s="1"/>
  <c r="F237" i="34" s="1"/>
  <c r="C80" i="34"/>
  <c r="H229" i="34"/>
  <c r="I229" i="34"/>
  <c r="J166" i="34"/>
  <c r="J125" i="34"/>
  <c r="G71" i="36"/>
  <c r="E229" i="34"/>
  <c r="C64" i="34"/>
  <c r="C66" i="34" s="1"/>
  <c r="C202" i="34"/>
  <c r="C214" i="34" s="1"/>
  <c r="C219" i="34" s="1"/>
  <c r="A19" i="34"/>
  <c r="A20" i="34" s="1"/>
  <c r="A21" i="34" s="1"/>
  <c r="A22" i="34" s="1"/>
  <c r="A23" i="34" s="1"/>
  <c r="A24" i="34" s="1"/>
  <c r="A25" i="34" s="1"/>
  <c r="B79" i="34" s="1"/>
  <c r="J52" i="34"/>
  <c r="J80" i="34" s="1"/>
  <c r="J79" i="34"/>
  <c r="J199" i="34"/>
  <c r="L258" i="2" s="1"/>
  <c r="B33" i="2"/>
  <c r="B34" i="2" s="1"/>
  <c r="B36" i="2" s="1"/>
  <c r="B39" i="2" s="1"/>
  <c r="B41" i="2" s="1"/>
  <c r="J33" i="6"/>
  <c r="G110" i="2" s="1"/>
  <c r="I57" i="34"/>
  <c r="I60" i="34" s="1"/>
  <c r="I65" i="34" s="1"/>
  <c r="I80" i="34"/>
  <c r="I64" i="34"/>
  <c r="G177" i="36"/>
  <c r="G183" i="36" s="1"/>
  <c r="C70" i="20"/>
  <c r="C70" i="13"/>
  <c r="G109" i="37"/>
  <c r="C229" i="34"/>
  <c r="C234" i="34" s="1"/>
  <c r="C237" i="34" s="1"/>
  <c r="E144" i="34"/>
  <c r="E147" i="34" s="1"/>
  <c r="E152" i="34" s="1"/>
  <c r="E167" i="34"/>
  <c r="E151" i="34"/>
  <c r="A23" i="6"/>
  <c r="E108" i="2"/>
  <c r="F151" i="34"/>
  <c r="F167" i="34"/>
  <c r="F144" i="34"/>
  <c r="F147" i="34" s="1"/>
  <c r="F152" i="34" s="1"/>
  <c r="E54" i="6"/>
  <c r="A30" i="31"/>
  <c r="A37" i="31" s="1"/>
  <c r="A40" i="31" s="1"/>
  <c r="A49" i="31" s="1"/>
  <c r="A50" i="31" s="1"/>
  <c r="A52" i="31" s="1"/>
  <c r="A54" i="31" s="1"/>
  <c r="A58" i="31" s="1"/>
  <c r="A59" i="31" s="1"/>
  <c r="A61" i="31" s="1"/>
  <c r="A62" i="31" s="1"/>
  <c r="A65" i="31" s="1"/>
  <c r="A69" i="31" s="1"/>
  <c r="A81" i="31" s="1"/>
  <c r="A86" i="31" s="1"/>
  <c r="A89" i="31" s="1"/>
  <c r="A95" i="31" s="1"/>
  <c r="A98" i="31" s="1"/>
  <c r="A101" i="31" s="1"/>
  <c r="E64" i="34"/>
  <c r="E80" i="34"/>
  <c r="E202" i="34"/>
  <c r="E57" i="34"/>
  <c r="I218" i="34"/>
  <c r="I140" i="34"/>
  <c r="C144" i="34"/>
  <c r="C147" i="34" s="1"/>
  <c r="C152" i="34" s="1"/>
  <c r="C151" i="34"/>
  <c r="C167" i="34"/>
  <c r="F64" i="34"/>
  <c r="F80" i="34"/>
  <c r="F57" i="34"/>
  <c r="F60" i="34" s="1"/>
  <c r="F65" i="34" s="1"/>
  <c r="F202" i="34"/>
  <c r="G144" i="34"/>
  <c r="G147" i="34" s="1"/>
  <c r="G152" i="34" s="1"/>
  <c r="G151" i="34"/>
  <c r="G167" i="34"/>
  <c r="I144" i="34"/>
  <c r="I147" i="34" s="1"/>
  <c r="I152" i="34" s="1"/>
  <c r="I202" i="34"/>
  <c r="I167" i="34"/>
  <c r="I151" i="34"/>
  <c r="J50" i="34"/>
  <c r="G84" i="2"/>
  <c r="K48" i="11" s="1"/>
  <c r="K51" i="11" s="1"/>
  <c r="K53" i="11" s="1"/>
  <c r="K55" i="11" s="1"/>
  <c r="O89" i="13"/>
  <c r="S33" i="21"/>
  <c r="L195" i="2" s="1"/>
  <c r="N90" i="13"/>
  <c r="M90" i="13"/>
  <c r="N23" i="13"/>
  <c r="O88" i="13"/>
  <c r="G229" i="34"/>
  <c r="C203" i="34"/>
  <c r="J53" i="34"/>
  <c r="J203" i="34" s="1"/>
  <c r="L259" i="2" s="1"/>
  <c r="J269" i="2" s="1"/>
  <c r="D214" i="2"/>
  <c r="D213" i="2"/>
  <c r="G216" i="34"/>
  <c r="H167" i="34"/>
  <c r="H151" i="34"/>
  <c r="J139" i="34"/>
  <c r="H144" i="34"/>
  <c r="H202" i="34"/>
  <c r="A50" i="11"/>
  <c r="A51" i="11" s="1"/>
  <c r="C61" i="11" s="1"/>
  <c r="E149" i="2"/>
  <c r="A47" i="9"/>
  <c r="A48" i="9" s="1"/>
  <c r="A49" i="9" s="1"/>
  <c r="A50" i="9" s="1"/>
  <c r="A51" i="9" s="1"/>
  <c r="A52" i="9" s="1"/>
  <c r="A53" i="9" s="1"/>
  <c r="A54" i="9" s="1"/>
  <c r="A55" i="9" s="1"/>
  <c r="A56" i="9" s="1"/>
  <c r="A57" i="9" s="1"/>
  <c r="A58" i="9" s="1"/>
  <c r="A59" i="9" s="1"/>
  <c r="A60" i="9" s="1"/>
  <c r="A61" i="9" s="1"/>
  <c r="A62" i="9" s="1"/>
  <c r="A64" i="9" s="1"/>
  <c r="O21" i="13"/>
  <c r="P21" i="13" s="1"/>
  <c r="E216" i="34"/>
  <c r="E218" i="34" s="1"/>
  <c r="J216" i="34"/>
  <c r="H271" i="2" s="1"/>
  <c r="G186" i="2"/>
  <c r="G188" i="2"/>
  <c r="J119" i="34"/>
  <c r="H140" i="34"/>
  <c r="A50" i="39"/>
  <c r="A51" i="39" s="1"/>
  <c r="A52" i="39" s="1"/>
  <c r="A53" i="39" s="1"/>
  <c r="A54" i="39" s="1"/>
  <c r="A55" i="39" s="1"/>
  <c r="E91" i="2"/>
  <c r="A23" i="5"/>
  <c r="A25" i="5" s="1"/>
  <c r="E21" i="41"/>
  <c r="E22" i="41" s="1"/>
  <c r="E23" i="41" s="1"/>
  <c r="E24" i="41" s="1"/>
  <c r="E25" i="41" s="1"/>
  <c r="E26" i="41" s="1"/>
  <c r="E27" i="41" s="1"/>
  <c r="E28" i="41" s="1"/>
  <c r="E29" i="41" s="1"/>
  <c r="E30" i="41" s="1"/>
  <c r="E31" i="41" s="1"/>
  <c r="E32" i="41" s="1"/>
  <c r="G85" i="2"/>
  <c r="E21" i="35"/>
  <c r="E22" i="35" s="1"/>
  <c r="E23" i="35" s="1"/>
  <c r="E24" i="35" s="1"/>
  <c r="E25" i="35" s="1"/>
  <c r="E26" i="35" s="1"/>
  <c r="E27" i="35" s="1"/>
  <c r="E28" i="35" s="1"/>
  <c r="E29" i="35" s="1"/>
  <c r="E30" i="35" s="1"/>
  <c r="E31" i="35" s="1"/>
  <c r="E32" i="35" s="1"/>
  <c r="P22" i="13"/>
  <c r="E103" i="20"/>
  <c r="F103" i="20" s="1"/>
  <c r="D104" i="20" s="1"/>
  <c r="H42" i="39"/>
  <c r="G73" i="2"/>
  <c r="G80" i="2" s="1"/>
  <c r="L73" i="2"/>
  <c r="A192" i="36" l="1"/>
  <c r="A193" i="36" s="1"/>
  <c r="A194" i="36" s="1"/>
  <c r="A195" i="36" s="1"/>
  <c r="A196" i="36" s="1"/>
  <c r="A197" i="36" s="1"/>
  <c r="D52" i="5" s="1"/>
  <c r="G85" i="34"/>
  <c r="G101" i="13"/>
  <c r="G207" i="34"/>
  <c r="G210" i="34" s="1"/>
  <c r="G215" i="34" s="1"/>
  <c r="G220" i="34" s="1"/>
  <c r="G236" i="34" s="1"/>
  <c r="G214" i="34"/>
  <c r="G219" i="34" s="1"/>
  <c r="G235" i="34" s="1"/>
  <c r="D34" i="5"/>
  <c r="H70" i="34"/>
  <c r="H86" i="34" s="1"/>
  <c r="H234" i="34"/>
  <c r="H237" i="34" s="1"/>
  <c r="G68" i="34"/>
  <c r="G84" i="34" s="1"/>
  <c r="G87" i="34" s="1"/>
  <c r="G70" i="34"/>
  <c r="G86" i="34" s="1"/>
  <c r="J229" i="34"/>
  <c r="C230" i="34"/>
  <c r="C235" i="34" s="1"/>
  <c r="H69" i="34"/>
  <c r="H85" i="34" s="1"/>
  <c r="A28" i="34"/>
  <c r="A29" i="34" s="1"/>
  <c r="B21" i="2"/>
  <c r="E234" i="34"/>
  <c r="E237" i="34" s="1"/>
  <c r="J64" i="34"/>
  <c r="E153" i="34"/>
  <c r="E155" i="34" s="1"/>
  <c r="E171" i="34" s="1"/>
  <c r="E174" i="34" s="1"/>
  <c r="J202" i="34"/>
  <c r="J214" i="34" s="1"/>
  <c r="J219" i="34" s="1"/>
  <c r="I234" i="34"/>
  <c r="I237" i="34" s="1"/>
  <c r="C207" i="34"/>
  <c r="C210" i="34" s="1"/>
  <c r="C215" i="34" s="1"/>
  <c r="C220" i="34" s="1"/>
  <c r="C236" i="34" s="1"/>
  <c r="F66" i="34"/>
  <c r="F68" i="34" s="1"/>
  <c r="F84" i="34" s="1"/>
  <c r="F87" i="34" s="1"/>
  <c r="J140" i="34"/>
  <c r="B55" i="39"/>
  <c r="J218" i="34"/>
  <c r="I153" i="34"/>
  <c r="C22" i="31"/>
  <c r="I66" i="34"/>
  <c r="I68" i="34" s="1"/>
  <c r="I84" i="34" s="1"/>
  <c r="I87" i="34" s="1"/>
  <c r="G153" i="34"/>
  <c r="G155" i="34" s="1"/>
  <c r="G171" i="34" s="1"/>
  <c r="G174" i="34" s="1"/>
  <c r="A29" i="6"/>
  <c r="A31" i="6" s="1"/>
  <c r="A32" i="6" s="1"/>
  <c r="A33" i="6" s="1"/>
  <c r="E109" i="2"/>
  <c r="C51" i="11"/>
  <c r="F230" i="34"/>
  <c r="F214" i="34"/>
  <c r="F219" i="34" s="1"/>
  <c r="F207" i="34"/>
  <c r="F210" i="34" s="1"/>
  <c r="F215" i="34" s="1"/>
  <c r="F220" i="34" s="1"/>
  <c r="F236" i="34" s="1"/>
  <c r="E230" i="34"/>
  <c r="E207" i="34"/>
  <c r="E210" i="34" s="1"/>
  <c r="E215" i="34" s="1"/>
  <c r="E220" i="34" s="1"/>
  <c r="E236" i="34" s="1"/>
  <c r="E214" i="34"/>
  <c r="E219" i="34" s="1"/>
  <c r="I230" i="34"/>
  <c r="I214" i="34"/>
  <c r="I219" i="34" s="1"/>
  <c r="I207" i="34"/>
  <c r="I210" i="34" s="1"/>
  <c r="I215" i="34" s="1"/>
  <c r="I220" i="34" s="1"/>
  <c r="I236" i="34" s="1"/>
  <c r="F153" i="34"/>
  <c r="F155" i="34" s="1"/>
  <c r="F171" i="34" s="1"/>
  <c r="F174" i="34" s="1"/>
  <c r="C153" i="34"/>
  <c r="C155" i="34" s="1"/>
  <c r="C171" i="34" s="1"/>
  <c r="C174" i="34" s="1"/>
  <c r="E60" i="34"/>
  <c r="E65" i="34" s="1"/>
  <c r="J57" i="34"/>
  <c r="J60" i="34" s="1"/>
  <c r="J65" i="34" s="1"/>
  <c r="O90" i="13"/>
  <c r="O23" i="13"/>
  <c r="H230" i="34"/>
  <c r="H214" i="34"/>
  <c r="H219" i="34" s="1"/>
  <c r="H207" i="34"/>
  <c r="H210" i="34" s="1"/>
  <c r="H215" i="34" s="1"/>
  <c r="H220" i="34" s="1"/>
  <c r="H236" i="34" s="1"/>
  <c r="A52" i="11"/>
  <c r="A53" i="11" s="1"/>
  <c r="H147" i="34"/>
  <c r="H152" i="34" s="1"/>
  <c r="H153" i="34" s="1"/>
  <c r="H155" i="34" s="1"/>
  <c r="H171" i="34" s="1"/>
  <c r="H174" i="34" s="1"/>
  <c r="J144" i="34"/>
  <c r="J147" i="34" s="1"/>
  <c r="J152" i="34" s="1"/>
  <c r="B42" i="2"/>
  <c r="C68" i="34"/>
  <c r="C84" i="34" s="1"/>
  <c r="C87" i="34" s="1"/>
  <c r="C70" i="34"/>
  <c r="C86" i="34" s="1"/>
  <c r="A67" i="9"/>
  <c r="A68" i="9" s="1"/>
  <c r="A69" i="9" s="1"/>
  <c r="A70" i="9" s="1"/>
  <c r="A72" i="9" s="1"/>
  <c r="E151" i="2" s="1"/>
  <c r="E150" i="2"/>
  <c r="E239" i="2"/>
  <c r="B57" i="39"/>
  <c r="A57" i="39"/>
  <c r="J151" i="34"/>
  <c r="J167" i="34"/>
  <c r="G218" i="34"/>
  <c r="G234" i="34" s="1"/>
  <c r="G237" i="34" s="1"/>
  <c r="C69" i="34"/>
  <c r="C85" i="34" s="1"/>
  <c r="A26" i="5"/>
  <c r="A27" i="5" s="1"/>
  <c r="A28" i="5" s="1"/>
  <c r="A31" i="5" s="1"/>
  <c r="A33" i="5" s="1"/>
  <c r="E57" i="11"/>
  <c r="I57" i="11"/>
  <c r="I58" i="11" s="1"/>
  <c r="I59" i="11" s="1"/>
  <c r="K57" i="11"/>
  <c r="K58" i="11" s="1"/>
  <c r="G57" i="11"/>
  <c r="E102" i="13"/>
  <c r="G249" i="2"/>
  <c r="E57" i="39"/>
  <c r="H75" i="13"/>
  <c r="G75" i="20"/>
  <c r="J71" i="2"/>
  <c r="E104" i="20"/>
  <c r="F104" i="20" s="1"/>
  <c r="D105" i="20" s="1"/>
  <c r="J73" i="2"/>
  <c r="G83" i="2"/>
  <c r="G87" i="2" s="1"/>
  <c r="L217" i="2"/>
  <c r="K61" i="11"/>
  <c r="K63" i="11" s="1"/>
  <c r="K65" i="11" s="1"/>
  <c r="P23" i="13"/>
  <c r="J234" i="34" l="1"/>
  <c r="J237" i="34" s="1"/>
  <c r="J66" i="34"/>
  <c r="J69" i="34" s="1"/>
  <c r="J85" i="34" s="1"/>
  <c r="E235" i="34"/>
  <c r="E157" i="34"/>
  <c r="E173" i="34" s="1"/>
  <c r="E156" i="34"/>
  <c r="E172" i="34" s="1"/>
  <c r="E92" i="2"/>
  <c r="J230" i="34"/>
  <c r="J235" i="34" s="1"/>
  <c r="G268" i="2"/>
  <c r="H268" i="2" s="1"/>
  <c r="J268" i="2" s="1"/>
  <c r="J207" i="34"/>
  <c r="L262" i="2" s="1"/>
  <c r="L265" i="2" s="1"/>
  <c r="F157" i="34"/>
  <c r="F173" i="34" s="1"/>
  <c r="G157" i="34"/>
  <c r="G173" i="34" s="1"/>
  <c r="F70" i="34"/>
  <c r="F86" i="34" s="1"/>
  <c r="F69" i="34"/>
  <c r="F85" i="34" s="1"/>
  <c r="G156" i="34"/>
  <c r="G172" i="34" s="1"/>
  <c r="I70" i="34"/>
  <c r="I86" i="34" s="1"/>
  <c r="I156" i="34"/>
  <c r="I172" i="34" s="1"/>
  <c r="I155" i="34"/>
  <c r="I171" i="34" s="1"/>
  <c r="I174" i="34" s="1"/>
  <c r="I157" i="34"/>
  <c r="I173" i="34" s="1"/>
  <c r="I69" i="34"/>
  <c r="I85" i="34" s="1"/>
  <c r="E111" i="2"/>
  <c r="E110"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E113" i="2"/>
  <c r="E112" i="2"/>
  <c r="I235" i="34"/>
  <c r="F235" i="34"/>
  <c r="C157" i="34"/>
  <c r="C173" i="34" s="1"/>
  <c r="F156" i="34"/>
  <c r="F172" i="34" s="1"/>
  <c r="C53" i="11"/>
  <c r="H235" i="34"/>
  <c r="C156" i="34"/>
  <c r="C172" i="34" s="1"/>
  <c r="E66" i="34"/>
  <c r="J161" i="2"/>
  <c r="L161" i="2" s="1"/>
  <c r="J74" i="2"/>
  <c r="L74" i="2" s="1"/>
  <c r="B43" i="2"/>
  <c r="B45" i="2" s="1"/>
  <c r="B63" i="2" s="1"/>
  <c r="A30" i="34"/>
  <c r="A31" i="34" s="1"/>
  <c r="A34" i="5"/>
  <c r="A35" i="5" s="1"/>
  <c r="A36" i="5" s="1"/>
  <c r="A39" i="5" s="1"/>
  <c r="A41" i="5" s="1"/>
  <c r="A60" i="39"/>
  <c r="A63" i="39" s="1"/>
  <c r="A64" i="39" s="1"/>
  <c r="A65" i="39" s="1"/>
  <c r="A66" i="39" s="1"/>
  <c r="A68" i="39" s="1"/>
  <c r="D249" i="2"/>
  <c r="A54" i="11"/>
  <c r="A55" i="11" s="1"/>
  <c r="H156" i="34"/>
  <c r="H172" i="34" s="1"/>
  <c r="D28" i="5"/>
  <c r="J153" i="34"/>
  <c r="J155" i="34" s="1"/>
  <c r="J171" i="34" s="1"/>
  <c r="J174" i="34" s="1"/>
  <c r="G269" i="2"/>
  <c r="H157" i="34"/>
  <c r="H173" i="34" s="1"/>
  <c r="G48" i="11"/>
  <c r="E58" i="11"/>
  <c r="M57" i="11"/>
  <c r="J149" i="2"/>
  <c r="J140" i="2"/>
  <c r="J228" i="2"/>
  <c r="L228" i="2" s="1"/>
  <c r="L233" i="2" s="1"/>
  <c r="L235" i="2" s="1"/>
  <c r="J150" i="2"/>
  <c r="F102" i="13"/>
  <c r="E105" i="20"/>
  <c r="F105" i="20" s="1"/>
  <c r="D106" i="20" s="1"/>
  <c r="E67" i="11"/>
  <c r="E68" i="11" s="1"/>
  <c r="I67" i="11"/>
  <c r="I68" i="11" s="1"/>
  <c r="I69" i="11" s="1"/>
  <c r="K67" i="11"/>
  <c r="K68" i="11" s="1"/>
  <c r="G67" i="11"/>
  <c r="J249" i="2"/>
  <c r="G252" i="2"/>
  <c r="J70" i="34" l="1"/>
  <c r="J86" i="34" s="1"/>
  <c r="J68" i="34"/>
  <c r="J84" i="34" s="1"/>
  <c r="J87" i="34" s="1"/>
  <c r="L268" i="2"/>
  <c r="L271" i="2" s="1"/>
  <c r="J210" i="34"/>
  <c r="J215" i="34" s="1"/>
  <c r="J220" i="34" s="1"/>
  <c r="J236" i="34" s="1"/>
  <c r="E45" i="2"/>
  <c r="D36" i="5"/>
  <c r="A72" i="6"/>
  <c r="A73" i="6" s="1"/>
  <c r="A74" i="6"/>
  <c r="A75" i="6" s="1"/>
  <c r="A76" i="6" s="1"/>
  <c r="A77" i="6" s="1"/>
  <c r="A78" i="6" s="1"/>
  <c r="A79" i="6" s="1"/>
  <c r="A80" i="6" s="1"/>
  <c r="E68" i="34"/>
  <c r="E84" i="34" s="1"/>
  <c r="E87" i="34" s="1"/>
  <c r="E69" i="34"/>
  <c r="E85" i="34" s="1"/>
  <c r="C55" i="11"/>
  <c r="E70" i="34"/>
  <c r="E86" i="34" s="1"/>
  <c r="E212" i="2"/>
  <c r="C75" i="13"/>
  <c r="C75" i="20"/>
  <c r="B64" i="2"/>
  <c r="B65" i="2" s="1"/>
  <c r="L269" i="2"/>
  <c r="H269" i="2"/>
  <c r="E93" i="2"/>
  <c r="D322" i="2"/>
  <c r="J157" i="34"/>
  <c r="J173" i="34" s="1"/>
  <c r="A74" i="39"/>
  <c r="A75" i="39" s="1"/>
  <c r="B50" i="39"/>
  <c r="A32" i="34"/>
  <c r="B32" i="34"/>
  <c r="J156" i="34"/>
  <c r="J172" i="34" s="1"/>
  <c r="C56" i="11"/>
  <c r="A56" i="11"/>
  <c r="A42" i="5"/>
  <c r="A43" i="5" s="1"/>
  <c r="A44" i="5" s="1"/>
  <c r="A47" i="5" s="1"/>
  <c r="A49" i="5" s="1"/>
  <c r="B31" i="34"/>
  <c r="E106" i="20"/>
  <c r="F106" i="20" s="1"/>
  <c r="D107" i="20" s="1"/>
  <c r="G51" i="11"/>
  <c r="M48" i="11"/>
  <c r="G59" i="20"/>
  <c r="G76" i="20"/>
  <c r="G77" i="20" s="1"/>
  <c r="G78" i="20" s="1"/>
  <c r="G79" i="20" s="1"/>
  <c r="D97" i="20" s="1"/>
  <c r="H76" i="13"/>
  <c r="H77" i="13" s="1"/>
  <c r="H78" i="13" s="1"/>
  <c r="H79" i="13" s="1"/>
  <c r="D96" i="13" s="1"/>
  <c r="F59" i="13"/>
  <c r="J66" i="2"/>
  <c r="L66" i="2" s="1"/>
  <c r="J76" i="2"/>
  <c r="L76" i="2" s="1"/>
  <c r="J162" i="2"/>
  <c r="L162" i="2" s="1"/>
  <c r="J75" i="2"/>
  <c r="L75" i="2" s="1"/>
  <c r="J163" i="2"/>
  <c r="L163" i="2" s="1"/>
  <c r="J110" i="2"/>
  <c r="L110" i="2" s="1"/>
  <c r="J152" i="2"/>
  <c r="L152" i="2" s="1"/>
  <c r="J147" i="2"/>
  <c r="J108" i="2"/>
  <c r="L108" i="2" s="1"/>
  <c r="J65" i="2"/>
  <c r="L65" i="2" s="1"/>
  <c r="J67" i="2"/>
  <c r="L67" i="2" s="1"/>
  <c r="J77" i="2"/>
  <c r="L77" i="2" s="1"/>
  <c r="J169" i="2"/>
  <c r="J102" i="2"/>
  <c r="L102" i="2" s="1"/>
  <c r="E59" i="11"/>
  <c r="E21" i="13"/>
  <c r="E21" i="20"/>
  <c r="D103" i="13"/>
  <c r="G102" i="13"/>
  <c r="H250" i="2"/>
  <c r="I250" i="2" s="1"/>
  <c r="H251" i="2"/>
  <c r="H249" i="2"/>
  <c r="E69" i="11"/>
  <c r="J106" i="2"/>
  <c r="L106" i="2" s="1"/>
  <c r="J64" i="2"/>
  <c r="L64" i="2" s="1"/>
  <c r="L80" i="2" l="1"/>
  <c r="L165" i="2"/>
  <c r="L70" i="2"/>
  <c r="J70" i="2" s="1"/>
  <c r="G270" i="2"/>
  <c r="H270" i="2" s="1"/>
  <c r="E94" i="2"/>
  <c r="B76" i="39"/>
  <c r="E240" i="2"/>
  <c r="A76" i="39"/>
  <c r="A50" i="5"/>
  <c r="A51" i="5" s="1"/>
  <c r="A34" i="34"/>
  <c r="B66" i="2"/>
  <c r="B67" i="2" s="1"/>
  <c r="D44" i="5"/>
  <c r="A57" i="11"/>
  <c r="C57" i="11"/>
  <c r="L84" i="2"/>
  <c r="M51" i="11"/>
  <c r="G53" i="11"/>
  <c r="L83" i="2"/>
  <c r="E107" i="20"/>
  <c r="F107" i="20" s="1"/>
  <c r="D108" i="20" s="1"/>
  <c r="I251" i="2"/>
  <c r="I249" i="2" s="1"/>
  <c r="L250" i="2"/>
  <c r="D22" i="20"/>
  <c r="F22" i="20" s="1"/>
  <c r="D22" i="13"/>
  <c r="F22" i="13" s="1"/>
  <c r="E103" i="13"/>
  <c r="F103" i="13" s="1"/>
  <c r="H252" i="2"/>
  <c r="L85" i="2"/>
  <c r="G61" i="11"/>
  <c r="B70" i="2" l="1"/>
  <c r="B72" i="2" s="1"/>
  <c r="B73" i="2" s="1"/>
  <c r="E70" i="2"/>
  <c r="L87" i="2"/>
  <c r="J87" i="2" s="1"/>
  <c r="L270" i="2"/>
  <c r="D51" i="5"/>
  <c r="A35" i="34"/>
  <c r="A52" i="5"/>
  <c r="E95" i="2" s="1"/>
  <c r="A58" i="11"/>
  <c r="C58" i="11"/>
  <c r="D104" i="13"/>
  <c r="E104" i="13" s="1"/>
  <c r="F104" i="13" s="1"/>
  <c r="G103" i="13"/>
  <c r="E108" i="20"/>
  <c r="F108" i="20" s="1"/>
  <c r="D109" i="20" s="1"/>
  <c r="M61" i="11"/>
  <c r="G63" i="11"/>
  <c r="D21" i="20"/>
  <c r="F21" i="20" s="1"/>
  <c r="D21" i="13"/>
  <c r="F21" i="13" s="1"/>
  <c r="L249" i="2"/>
  <c r="D23" i="20"/>
  <c r="F23" i="20" s="1"/>
  <c r="D23" i="13"/>
  <c r="F23" i="13" s="1"/>
  <c r="L251" i="2"/>
  <c r="G64" i="20"/>
  <c r="F64" i="13"/>
  <c r="G55" i="11"/>
  <c r="G58" i="11" s="1"/>
  <c r="M58" i="11" s="1"/>
  <c r="M53" i="11"/>
  <c r="J173" i="2"/>
  <c r="J148" i="2"/>
  <c r="L148" i="2" s="1"/>
  <c r="J109" i="2"/>
  <c r="L109" i="2" s="1"/>
  <c r="J111" i="2"/>
  <c r="C59" i="11" l="1"/>
  <c r="A59" i="11"/>
  <c r="A61" i="11" s="1"/>
  <c r="A62" i="11" s="1"/>
  <c r="A63" i="11" s="1"/>
  <c r="B74" i="2"/>
  <c r="B75" i="2" s="1"/>
  <c r="A36" i="34"/>
  <c r="A37" i="34" s="1"/>
  <c r="D105" i="13"/>
  <c r="G104" i="13"/>
  <c r="E109" i="20"/>
  <c r="F109" i="20" s="1"/>
  <c r="D110" i="20" s="1"/>
  <c r="J183" i="2"/>
  <c r="L183" i="2" s="1"/>
  <c r="L187" i="2" s="1"/>
  <c r="J186" i="2"/>
  <c r="L186" i="2" s="1"/>
  <c r="J184" i="2"/>
  <c r="L184" i="2" s="1"/>
  <c r="L188" i="2" s="1"/>
  <c r="G65" i="11"/>
  <c r="G68" i="11" s="1"/>
  <c r="M68" i="11" s="1"/>
  <c r="M63" i="11"/>
  <c r="L252" i="2"/>
  <c r="G178" i="2" s="1"/>
  <c r="F24" i="13"/>
  <c r="E29" i="13" s="1"/>
  <c r="F24" i="20"/>
  <c r="F29" i="20" s="1"/>
  <c r="A38" i="34" l="1"/>
  <c r="B38" i="34"/>
  <c r="B76" i="2"/>
  <c r="B77" i="2" s="1"/>
  <c r="B37" i="34"/>
  <c r="A64" i="11"/>
  <c r="A65" i="11" s="1"/>
  <c r="E83" i="2"/>
  <c r="E110" i="20"/>
  <c r="F110" i="20" s="1"/>
  <c r="D111" i="20" s="1"/>
  <c r="F35" i="20"/>
  <c r="G197" i="2"/>
  <c r="E35" i="13"/>
  <c r="L197" i="2"/>
  <c r="E37" i="13"/>
  <c r="F37" i="20"/>
  <c r="E39" i="13"/>
  <c r="F39" i="20"/>
  <c r="E38" i="13"/>
  <c r="F38" i="20"/>
  <c r="E105" i="13"/>
  <c r="F105" i="13" s="1"/>
  <c r="B80" i="2" l="1"/>
  <c r="B82" i="2" s="1"/>
  <c r="B83" i="2" s="1"/>
  <c r="E80" i="2"/>
  <c r="C66" i="11"/>
  <c r="A66" i="11"/>
  <c r="A67" i="11" s="1"/>
  <c r="C68" i="11" s="1"/>
  <c r="E85" i="2"/>
  <c r="C65" i="11"/>
  <c r="E84" i="2"/>
  <c r="A40" i="34"/>
  <c r="D106" i="13"/>
  <c r="G105" i="13"/>
  <c r="E111" i="20"/>
  <c r="F111" i="20" s="1"/>
  <c r="D112" i="20" s="1"/>
  <c r="C64" i="13" l="1"/>
  <c r="C64" i="20"/>
  <c r="B84" i="2"/>
  <c r="B85" i="2" s="1"/>
  <c r="A68" i="11"/>
  <c r="C67" i="11"/>
  <c r="A41" i="34"/>
  <c r="E112" i="20"/>
  <c r="F112" i="20" s="1"/>
  <c r="D113" i="20" s="1"/>
  <c r="E106" i="13"/>
  <c r="F106" i="13" s="1"/>
  <c r="B87" i="2" l="1"/>
  <c r="C48" i="11" s="1"/>
  <c r="E87" i="2"/>
  <c r="A42" i="34"/>
  <c r="A43" i="34" s="1"/>
  <c r="A69" i="11"/>
  <c r="C69" i="11"/>
  <c r="D107" i="13"/>
  <c r="E107" i="13" s="1"/>
  <c r="F107" i="13" s="1"/>
  <c r="G106" i="13"/>
  <c r="E113" i="20"/>
  <c r="F113" i="20" s="1"/>
  <c r="D114" i="20" s="1"/>
  <c r="B90" i="2" l="1"/>
  <c r="B91" i="2" s="1"/>
  <c r="B43" i="34"/>
  <c r="A44" i="34"/>
  <c r="B44" i="34"/>
  <c r="D108" i="13"/>
  <c r="G107" i="13"/>
  <c r="E114" i="20"/>
  <c r="F114" i="20" s="1"/>
  <c r="D115" i="20" s="1"/>
  <c r="A46" i="34" l="1"/>
  <c r="E115" i="20"/>
  <c r="F115" i="20" s="1"/>
  <c r="E108" i="13"/>
  <c r="F108" i="13" s="1"/>
  <c r="A47" i="34" l="1"/>
  <c r="D109" i="13"/>
  <c r="G108" i="13"/>
  <c r="D116" i="20"/>
  <c r="A48" i="34" l="1"/>
  <c r="A49" i="34" s="1"/>
  <c r="E116" i="20"/>
  <c r="F116" i="20" s="1"/>
  <c r="D117" i="20" s="1"/>
  <c r="E109" i="13"/>
  <c r="F109" i="13" s="1"/>
  <c r="B49" i="34" l="1"/>
  <c r="A50" i="34"/>
  <c r="B52" i="34"/>
  <c r="B50" i="34"/>
  <c r="D110" i="13"/>
  <c r="G109" i="13"/>
  <c r="E117" i="20"/>
  <c r="F117" i="20" s="1"/>
  <c r="D118" i="20" s="1"/>
  <c r="A52" i="34" l="1"/>
  <c r="B53" i="34"/>
  <c r="E118" i="20"/>
  <c r="F118" i="20" s="1"/>
  <c r="E110" i="13"/>
  <c r="F110" i="13" s="1"/>
  <c r="D111" i="13" s="1"/>
  <c r="A53" i="34" l="1"/>
  <c r="B64" i="34"/>
  <c r="B57" i="34"/>
  <c r="D119" i="20"/>
  <c r="E111" i="13"/>
  <c r="F111" i="13" s="1"/>
  <c r="G110" i="13"/>
  <c r="A56" i="34" l="1"/>
  <c r="B203" i="34"/>
  <c r="B80" i="34"/>
  <c r="D112" i="13"/>
  <c r="G111" i="13"/>
  <c r="E119" i="20"/>
  <c r="F119" i="20" s="1"/>
  <c r="A57" i="34" l="1"/>
  <c r="A58" i="34" s="1"/>
  <c r="D120" i="20"/>
  <c r="E112" i="13"/>
  <c r="F112" i="13" s="1"/>
  <c r="D113" i="13" s="1"/>
  <c r="A59" i="34" l="1"/>
  <c r="E113" i="13"/>
  <c r="F113" i="13" s="1"/>
  <c r="D114" i="13" s="1"/>
  <c r="G112" i="13"/>
  <c r="E120" i="20"/>
  <c r="F120" i="20" s="1"/>
  <c r="D121" i="20" s="1"/>
  <c r="A60" i="34" l="1"/>
  <c r="G113" i="13"/>
  <c r="E121" i="20"/>
  <c r="F121" i="20" s="1"/>
  <c r="D122" i="20" s="1"/>
  <c r="E114" i="13"/>
  <c r="F114" i="13" s="1"/>
  <c r="A63" i="34" l="1"/>
  <c r="B65" i="34"/>
  <c r="D115" i="13"/>
  <c r="E115" i="13" s="1"/>
  <c r="G114" i="13"/>
  <c r="E122" i="20"/>
  <c r="F122" i="20" s="1"/>
  <c r="F115" i="13" l="1"/>
  <c r="D116" i="13" s="1"/>
  <c r="E116" i="13" s="1"/>
  <c r="F116" i="13" s="1"/>
  <c r="A64" i="34"/>
  <c r="D123" i="20"/>
  <c r="E123" i="20" s="1"/>
  <c r="F123" i="20" s="1"/>
  <c r="G115" i="13" l="1"/>
  <c r="A65" i="34"/>
  <c r="D124" i="20"/>
  <c r="E124" i="20" s="1"/>
  <c r="D117" i="13"/>
  <c r="G116" i="13"/>
  <c r="A66" i="34" l="1"/>
  <c r="F124" i="20"/>
  <c r="D125" i="20" s="1"/>
  <c r="E125" i="20" s="1"/>
  <c r="F125" i="20" s="1"/>
  <c r="D126" i="20" s="1"/>
  <c r="E117" i="13"/>
  <c r="F117" i="13" s="1"/>
  <c r="D118" i="13" s="1"/>
  <c r="A68" i="34" l="1"/>
  <c r="B68" i="34"/>
  <c r="B69" i="34"/>
  <c r="B70" i="34"/>
  <c r="E126" i="20"/>
  <c r="F126" i="20" s="1"/>
  <c r="E118" i="13"/>
  <c r="F118" i="13" s="1"/>
  <c r="D119" i="13" s="1"/>
  <c r="G117" i="13"/>
  <c r="A69" i="34" l="1"/>
  <c r="G118" i="13"/>
  <c r="D127" i="20"/>
  <c r="E119" i="13"/>
  <c r="F119" i="13" s="1"/>
  <c r="A70" i="34" l="1"/>
  <c r="E127" i="20"/>
  <c r="F127" i="20" s="1"/>
  <c r="D120" i="13"/>
  <c r="G119" i="13"/>
  <c r="A72" i="34" l="1"/>
  <c r="A74" i="34" s="1"/>
  <c r="A75" i="34" s="1"/>
  <c r="A76" i="34" s="1"/>
  <c r="A79" i="34" s="1"/>
  <c r="D128" i="20"/>
  <c r="E120" i="13"/>
  <c r="F120" i="13" s="1"/>
  <c r="A80" i="34" l="1"/>
  <c r="B84" i="34"/>
  <c r="E128" i="20"/>
  <c r="F128" i="20" s="1"/>
  <c r="D121" i="13"/>
  <c r="G120" i="13"/>
  <c r="A81" i="34" l="1"/>
  <c r="B85" i="34"/>
  <c r="D129" i="20"/>
  <c r="E121" i="13"/>
  <c r="F121" i="13" s="1"/>
  <c r="D122" i="13" s="1"/>
  <c r="A84" i="34" l="1"/>
  <c r="A85" i="34" s="1"/>
  <c r="A86" i="34" s="1"/>
  <c r="A87" i="34" s="1"/>
  <c r="A96" i="34" s="1"/>
  <c r="B86" i="34"/>
  <c r="E129" i="20"/>
  <c r="F129" i="20" s="1"/>
  <c r="D130" i="20" s="1"/>
  <c r="E122" i="13"/>
  <c r="F122" i="13" s="1"/>
  <c r="D123" i="13" s="1"/>
  <c r="G121" i="13"/>
  <c r="A97" i="34" l="1"/>
  <c r="B183" i="34"/>
  <c r="E130" i="20"/>
  <c r="F130" i="20" s="1"/>
  <c r="D131" i="20" s="1"/>
  <c r="G122" i="13"/>
  <c r="E123" i="13"/>
  <c r="F123" i="13" s="1"/>
  <c r="D124" i="13" s="1"/>
  <c r="A98" i="34" l="1"/>
  <c r="B184" i="34"/>
  <c r="E131" i="20"/>
  <c r="F131" i="20" s="1"/>
  <c r="D132" i="20" s="1"/>
  <c r="G123" i="13"/>
  <c r="E124" i="13"/>
  <c r="F124" i="13" s="1"/>
  <c r="B185" i="34" l="1"/>
  <c r="A99" i="34"/>
  <c r="E132" i="20"/>
  <c r="F132" i="20" s="1"/>
  <c r="D125" i="13"/>
  <c r="G124" i="13"/>
  <c r="B186" i="34" l="1"/>
  <c r="A100" i="34"/>
  <c r="A101" i="34" s="1"/>
  <c r="D133" i="20"/>
  <c r="E125" i="13"/>
  <c r="F125" i="13" s="1"/>
  <c r="D126" i="13" s="1"/>
  <c r="A103" i="34" l="1"/>
  <c r="B150" i="34"/>
  <c r="E133" i="20"/>
  <c r="F133" i="20" s="1"/>
  <c r="D134" i="20" s="1"/>
  <c r="E126" i="13"/>
  <c r="F126" i="13" s="1"/>
  <c r="D127" i="13" s="1"/>
  <c r="G125" i="13"/>
  <c r="B100" i="34" l="1"/>
  <c r="A106" i="34"/>
  <c r="A107" i="34" s="1"/>
  <c r="A108" i="34" s="1"/>
  <c r="A109" i="34" s="1"/>
  <c r="A110" i="34" s="1"/>
  <c r="A111" i="34" s="1"/>
  <c r="A112" i="34" s="1"/>
  <c r="E134" i="20"/>
  <c r="F134" i="20" s="1"/>
  <c r="G126" i="13"/>
  <c r="E127" i="13"/>
  <c r="F127" i="13" s="1"/>
  <c r="D128" i="13" s="1"/>
  <c r="D135" i="20" l="1"/>
  <c r="E135" i="20" s="1"/>
  <c r="F135" i="20" s="1"/>
  <c r="D136" i="20" s="1"/>
  <c r="B166" i="34"/>
  <c r="A115" i="34"/>
  <c r="G127" i="13"/>
  <c r="E128" i="13"/>
  <c r="F128" i="13" s="1"/>
  <c r="A116" i="34" l="1"/>
  <c r="E136" i="20"/>
  <c r="F136" i="20" s="1"/>
  <c r="D137" i="20" s="1"/>
  <c r="D129" i="13"/>
  <c r="E129" i="13" s="1"/>
  <c r="F129" i="13" s="1"/>
  <c r="D130" i="13" s="1"/>
  <c r="G128" i="13"/>
  <c r="A117" i="34" l="1"/>
  <c r="A118" i="34" s="1"/>
  <c r="E137" i="20"/>
  <c r="F137" i="20" s="1"/>
  <c r="D138" i="20" s="1"/>
  <c r="E130" i="13"/>
  <c r="F130" i="13" s="1"/>
  <c r="G129" i="13"/>
  <c r="B118" i="34" l="1"/>
  <c r="A119" i="34"/>
  <c r="B119" i="34"/>
  <c r="D131" i="13"/>
  <c r="E131" i="13" s="1"/>
  <c r="F131" i="13" s="1"/>
  <c r="G130" i="13"/>
  <c r="E138" i="20"/>
  <c r="F138" i="20" s="1"/>
  <c r="D139" i="20" s="1"/>
  <c r="A121" i="34" l="1"/>
  <c r="E139" i="20"/>
  <c r="F139" i="20" s="1"/>
  <c r="D140" i="20" s="1"/>
  <c r="D132" i="13"/>
  <c r="G131" i="13"/>
  <c r="A122" i="34" l="1"/>
  <c r="E140" i="20"/>
  <c r="F140" i="20" s="1"/>
  <c r="E132" i="13"/>
  <c r="F132" i="13" s="1"/>
  <c r="A123" i="34" l="1"/>
  <c r="A124" i="34" s="1"/>
  <c r="D141" i="20"/>
  <c r="D133" i="13"/>
  <c r="E133" i="13" s="1"/>
  <c r="F133" i="13" s="1"/>
  <c r="D134" i="13" s="1"/>
  <c r="G132" i="13"/>
  <c r="B124" i="34" l="1"/>
  <c r="A125" i="34"/>
  <c r="B125" i="34"/>
  <c r="E141" i="20"/>
  <c r="F141" i="20" s="1"/>
  <c r="D142" i="20" s="1"/>
  <c r="E142" i="20" s="1"/>
  <c r="F142" i="20" s="1"/>
  <c r="D143" i="20" s="1"/>
  <c r="E143" i="20" s="1"/>
  <c r="F143" i="20" s="1"/>
  <c r="E134" i="13"/>
  <c r="F134" i="13" s="1"/>
  <c r="D135" i="13" s="1"/>
  <c r="G133" i="13"/>
  <c r="A127" i="34" l="1"/>
  <c r="D144" i="20"/>
  <c r="E135" i="13"/>
  <c r="F135" i="13" s="1"/>
  <c r="G134" i="13"/>
  <c r="A128" i="34" l="1"/>
  <c r="D136" i="13"/>
  <c r="G135" i="13"/>
  <c r="E144" i="20"/>
  <c r="F144" i="20" s="1"/>
  <c r="A129" i="34" l="1"/>
  <c r="A130" i="34" s="1"/>
  <c r="D145" i="20"/>
  <c r="E145" i="20" s="1"/>
  <c r="E136" i="13"/>
  <c r="F136" i="13" s="1"/>
  <c r="B130" i="34" l="1"/>
  <c r="A131" i="34"/>
  <c r="B131" i="34"/>
  <c r="F145" i="20"/>
  <c r="D137" i="13"/>
  <c r="G136" i="13"/>
  <c r="A133" i="34" l="1"/>
  <c r="D146" i="20"/>
  <c r="E146" i="20" s="1"/>
  <c r="F146" i="20" s="1"/>
  <c r="D147" i="20" s="1"/>
  <c r="E137" i="13"/>
  <c r="F137" i="13" s="1"/>
  <c r="D138" i="13" s="1"/>
  <c r="A134" i="34" l="1"/>
  <c r="G137" i="13"/>
  <c r="E138" i="13"/>
  <c r="F138" i="13" s="1"/>
  <c r="E147" i="20"/>
  <c r="F147" i="20" s="1"/>
  <c r="A135" i="34" l="1"/>
  <c r="A136" i="34" s="1"/>
  <c r="D148" i="20"/>
  <c r="E148" i="20" s="1"/>
  <c r="F148" i="20" s="1"/>
  <c r="D139" i="13"/>
  <c r="G138" i="13"/>
  <c r="B136" i="34" l="1"/>
  <c r="A137" i="34"/>
  <c r="B139" i="34"/>
  <c r="B137" i="34"/>
  <c r="D149" i="20"/>
  <c r="E139" i="13"/>
  <c r="F139" i="13" s="1"/>
  <c r="A139" i="34" l="1"/>
  <c r="B140" i="34"/>
  <c r="D140" i="13"/>
  <c r="G139" i="13"/>
  <c r="E149" i="20"/>
  <c r="F149" i="20" s="1"/>
  <c r="B144" i="34" l="1"/>
  <c r="A140" i="34"/>
  <c r="B151" i="34"/>
  <c r="B202" i="34"/>
  <c r="D150" i="20"/>
  <c r="E140" i="13"/>
  <c r="F140" i="13" s="1"/>
  <c r="D141" i="13" s="1"/>
  <c r="A143" i="34" l="1"/>
  <c r="B167" i="34"/>
  <c r="E141" i="13"/>
  <c r="F141" i="13" s="1"/>
  <c r="D142" i="13" s="1"/>
  <c r="E150" i="20"/>
  <c r="F150" i="20" s="1"/>
  <c r="G140" i="13"/>
  <c r="A144" i="34" l="1"/>
  <c r="A145" i="34" s="1"/>
  <c r="B206" i="34"/>
  <c r="D151" i="20"/>
  <c r="E142" i="13"/>
  <c r="F142" i="13" s="1"/>
  <c r="D143" i="13" s="1"/>
  <c r="G141" i="13"/>
  <c r="A146" i="34" l="1"/>
  <c r="B208" i="34"/>
  <c r="G142" i="13"/>
  <c r="E143" i="13"/>
  <c r="F143" i="13" s="1"/>
  <c r="D144" i="13" s="1"/>
  <c r="E151" i="20"/>
  <c r="F151" i="20" s="1"/>
  <c r="D152" i="20" s="1"/>
  <c r="A147" i="34" l="1"/>
  <c r="B209" i="34"/>
  <c r="E144" i="13"/>
  <c r="F144" i="13" s="1"/>
  <c r="D145" i="13" s="1"/>
  <c r="G143" i="13"/>
  <c r="E152" i="20"/>
  <c r="F152" i="20" s="1"/>
  <c r="A150" i="34" l="1"/>
  <c r="B152" i="34"/>
  <c r="D153" i="20"/>
  <c r="E153" i="20" s="1"/>
  <c r="E145" i="13"/>
  <c r="F145" i="13" s="1"/>
  <c r="G144" i="13"/>
  <c r="A151" i="34" l="1"/>
  <c r="F153" i="20"/>
  <c r="D154" i="20" s="1"/>
  <c r="D146" i="13"/>
  <c r="G145" i="13"/>
  <c r="A152" i="34" l="1"/>
  <c r="E154" i="20"/>
  <c r="F154" i="20" s="1"/>
  <c r="D155" i="20" s="1"/>
  <c r="E155" i="20" s="1"/>
  <c r="F155" i="20" s="1"/>
  <c r="E146" i="13"/>
  <c r="F146" i="13" s="1"/>
  <c r="A153" i="34" l="1"/>
  <c r="B157" i="34" s="1"/>
  <c r="D156" i="20"/>
  <c r="D147" i="13"/>
  <c r="G146" i="13"/>
  <c r="A155" i="34" l="1"/>
  <c r="B155" i="34"/>
  <c r="B156" i="34"/>
  <c r="E147" i="13"/>
  <c r="F147" i="13" s="1"/>
  <c r="E156" i="20"/>
  <c r="F156" i="20" s="1"/>
  <c r="A156" i="34" l="1"/>
  <c r="D157" i="20"/>
  <c r="D148" i="13"/>
  <c r="G147" i="13"/>
  <c r="A157" i="34" l="1"/>
  <c r="E148" i="13"/>
  <c r="F148" i="13" s="1"/>
  <c r="E157" i="20"/>
  <c r="F157" i="20" s="1"/>
  <c r="D158" i="20" s="1"/>
  <c r="A159" i="34" l="1"/>
  <c r="A161" i="34" s="1"/>
  <c r="A162" i="34" s="1"/>
  <c r="A163" i="34" s="1"/>
  <c r="A166" i="34" s="1"/>
  <c r="D149" i="13"/>
  <c r="G148" i="13"/>
  <c r="E158" i="20"/>
  <c r="F158" i="20" s="1"/>
  <c r="D159" i="20" s="1"/>
  <c r="A167" i="34" l="1"/>
  <c r="B171" i="34"/>
  <c r="E159" i="20"/>
  <c r="F159" i="20" s="1"/>
  <c r="E149" i="13"/>
  <c r="F149" i="13" s="1"/>
  <c r="A168" i="34" l="1"/>
  <c r="B172" i="34"/>
  <c r="D160" i="20"/>
  <c r="E160" i="20" s="1"/>
  <c r="E161" i="20" s="1"/>
  <c r="D150" i="13"/>
  <c r="G149" i="13"/>
  <c r="A171" i="34" l="1"/>
  <c r="A172" i="34" s="1"/>
  <c r="A173" i="34" s="1"/>
  <c r="A174" i="34" s="1"/>
  <c r="A183" i="34" s="1"/>
  <c r="A184" i="34" s="1"/>
  <c r="A185" i="34" s="1"/>
  <c r="A186" i="34" s="1"/>
  <c r="A187" i="34" s="1"/>
  <c r="A188" i="34" s="1"/>
  <c r="B173" i="34"/>
  <c r="F160" i="20"/>
  <c r="E150" i="13"/>
  <c r="F150" i="13" s="1"/>
  <c r="D151" i="13" s="1"/>
  <c r="A190" i="34" l="1"/>
  <c r="B213" i="34"/>
  <c r="E151" i="13"/>
  <c r="F151" i="13" s="1"/>
  <c r="D152" i="13" s="1"/>
  <c r="G150" i="13"/>
  <c r="B187" i="34" l="1"/>
  <c r="A193" i="34"/>
  <c r="A194" i="34" s="1"/>
  <c r="A195" i="34" s="1"/>
  <c r="A196" i="34" s="1"/>
  <c r="A197" i="34" s="1"/>
  <c r="A198" i="34" s="1"/>
  <c r="A199" i="34" s="1"/>
  <c r="E152" i="13"/>
  <c r="F152" i="13" s="1"/>
  <c r="G151" i="13"/>
  <c r="A202" i="34" l="1"/>
  <c r="E258" i="2"/>
  <c r="B229" i="34"/>
  <c r="D153" i="13"/>
  <c r="G152" i="13"/>
  <c r="B207" i="34" l="1"/>
  <c r="A203" i="34"/>
  <c r="B214" i="34"/>
  <c r="E153" i="13"/>
  <c r="F153" i="13" s="1"/>
  <c r="B230" i="34" l="1"/>
  <c r="E259" i="2"/>
  <c r="A206" i="34"/>
  <c r="D154" i="13"/>
  <c r="G153" i="13"/>
  <c r="E261" i="2" l="1"/>
  <c r="A207" i="34"/>
  <c r="E154" i="13"/>
  <c r="F154" i="13" s="1"/>
  <c r="A208" i="34" l="1"/>
  <c r="E262" i="2"/>
  <c r="D155" i="13"/>
  <c r="G154" i="13"/>
  <c r="A209" i="34" l="1"/>
  <c r="E263" i="2"/>
  <c r="E155" i="13"/>
  <c r="F155" i="13" s="1"/>
  <c r="D156" i="13" s="1"/>
  <c r="A210" i="34" l="1"/>
  <c r="E264" i="2"/>
  <c r="G155" i="13"/>
  <c r="E156" i="13"/>
  <c r="F156" i="13" s="1"/>
  <c r="B215" i="34" l="1"/>
  <c r="A213" i="34"/>
  <c r="D157" i="13"/>
  <c r="G156" i="13"/>
  <c r="D268" i="2" l="1"/>
  <c r="A214" i="34"/>
  <c r="E157" i="13"/>
  <c r="F157" i="13" s="1"/>
  <c r="A215" i="34" l="1"/>
  <c r="D269" i="2"/>
  <c r="D158" i="13"/>
  <c r="G157" i="13"/>
  <c r="A216" i="34" l="1"/>
  <c r="B220" i="34" s="1"/>
  <c r="D270" i="2"/>
  <c r="E158" i="13"/>
  <c r="F158" i="13" s="1"/>
  <c r="A218" i="34" l="1"/>
  <c r="D271" i="2"/>
  <c r="B218" i="34"/>
  <c r="B219" i="34"/>
  <c r="D159" i="13"/>
  <c r="G158" i="13"/>
  <c r="A219" i="34" l="1"/>
  <c r="E159" i="13"/>
  <c r="E160" i="13" s="1"/>
  <c r="A220" i="34" l="1"/>
  <c r="F159" i="13"/>
  <c r="G159" i="13" s="1"/>
  <c r="A222" i="34" l="1"/>
  <c r="A224" i="34" s="1"/>
  <c r="A225" i="34" s="1"/>
  <c r="A226" i="34" s="1"/>
  <c r="A229" i="34" s="1"/>
  <c r="A230" i="34" l="1"/>
  <c r="B234" i="34"/>
  <c r="A231" i="34" l="1"/>
  <c r="B235" i="34"/>
  <c r="A234" i="34" l="1"/>
  <c r="A235" i="34" s="1"/>
  <c r="A236" i="34" s="1"/>
  <c r="A237" i="34" s="1"/>
  <c r="B236" i="34"/>
  <c r="E81" i="31" l="1"/>
  <c r="E37" i="11" s="1"/>
  <c r="K37" i="11" s="1"/>
  <c r="I42" i="6" l="1"/>
  <c r="K42" i="6" s="1"/>
  <c r="E42" i="6" s="1"/>
  <c r="I41" i="6" l="1"/>
  <c r="D57" i="6"/>
  <c r="D31" i="6" s="1"/>
  <c r="I66" i="6"/>
  <c r="K66" i="6" s="1"/>
  <c r="E66" i="6" s="1"/>
  <c r="E81" i="6" s="1"/>
  <c r="E32" i="6" s="1"/>
  <c r="I65" i="6" l="1"/>
  <c r="D81" i="6"/>
  <c r="D32" i="6" s="1"/>
  <c r="D33" i="6" s="1"/>
  <c r="K41" i="6"/>
  <c r="I57" i="6"/>
  <c r="I31" i="6" s="1"/>
  <c r="K57" i="6" l="1"/>
  <c r="K31" i="6" s="1"/>
  <c r="E41" i="6"/>
  <c r="E57" i="6" s="1"/>
  <c r="E31" i="6" s="1"/>
  <c r="E33" i="6" s="1"/>
  <c r="G113" i="2" s="1"/>
  <c r="L113" i="2" s="1"/>
  <c r="I81" i="6"/>
  <c r="I32" i="6" s="1"/>
  <c r="I33" i="6" s="1"/>
  <c r="G111" i="2" s="1"/>
  <c r="K65" i="6"/>
  <c r="K81" i="6" s="1"/>
  <c r="K32" i="6" s="1"/>
  <c r="K33" i="6" l="1"/>
  <c r="L111" i="2"/>
  <c r="E69" i="31" l="1"/>
  <c r="E36" i="11" s="1"/>
  <c r="K36" i="11" s="1"/>
  <c r="J21" i="8" l="1"/>
  <c r="J27" i="8" s="1"/>
  <c r="J31" i="8" s="1"/>
  <c r="I27" i="8"/>
  <c r="I31" i="8" s="1"/>
  <c r="E98" i="31" l="1"/>
  <c r="E95" i="31" l="1"/>
  <c r="E40" i="11" s="1"/>
  <c r="M40" i="11" s="1"/>
  <c r="E86" i="31"/>
  <c r="E38" i="11" s="1"/>
  <c r="K38" i="11" s="1"/>
  <c r="E65" i="31"/>
  <c r="E35" i="11" s="1"/>
  <c r="K35" i="11" s="1"/>
  <c r="E62" i="31"/>
  <c r="E34" i="11" s="1"/>
  <c r="M34" i="11" s="1"/>
  <c r="E59" i="31"/>
  <c r="E31" i="11" s="1"/>
  <c r="M31" i="11" s="1"/>
  <c r="E54" i="31"/>
  <c r="E28" i="11" s="1"/>
  <c r="I28" i="11" s="1"/>
  <c r="E52" i="31"/>
  <c r="E27" i="11" s="1"/>
  <c r="I27" i="11" s="1"/>
  <c r="E50" i="31"/>
  <c r="E26" i="11" s="1"/>
  <c r="I26" i="11" s="1"/>
  <c r="K43" i="11" l="1"/>
  <c r="G173" i="2" s="1"/>
  <c r="L173" i="2" s="1"/>
  <c r="I43" i="11"/>
  <c r="G169" i="2" s="1"/>
  <c r="L169" i="2" s="1"/>
  <c r="E14" i="31" l="1"/>
  <c r="E17" i="11" s="1"/>
  <c r="M17" i="11" s="1"/>
  <c r="E23" i="31"/>
  <c r="I24" i="31"/>
  <c r="I23" i="31" s="1"/>
  <c r="E20" i="11" l="1"/>
  <c r="E39" i="11" l="1"/>
  <c r="M39" i="11" s="1"/>
  <c r="M43" i="11" s="1"/>
  <c r="G172" i="2" s="1"/>
  <c r="L172" i="2" s="1"/>
  <c r="G20" i="11"/>
  <c r="L42" i="2" l="1"/>
  <c r="L43" i="2" l="1"/>
  <c r="D33" i="9" l="1"/>
  <c r="G137" i="2" s="1"/>
  <c r="D44" i="9" l="1"/>
  <c r="G144" i="2" s="1"/>
  <c r="D64" i="9"/>
  <c r="G145" i="2" s="1"/>
  <c r="L41" i="2"/>
  <c r="G140" i="2"/>
  <c r="L45" i="2" l="1"/>
  <c r="F44" i="9"/>
  <c r="G149" i="2" s="1"/>
  <c r="L149" i="2" s="1"/>
  <c r="G105" i="2"/>
  <c r="G114" i="2" s="1"/>
  <c r="L140" i="2"/>
  <c r="L105" i="2" s="1"/>
  <c r="L114" i="2" s="1"/>
  <c r="F64" i="9"/>
  <c r="G150" i="2" s="1"/>
  <c r="L150" i="2" s="1"/>
  <c r="E64" i="9" l="1"/>
  <c r="E44" i="9"/>
  <c r="G39" i="35" l="1"/>
  <c r="G21" i="35"/>
  <c r="G39" i="41"/>
  <c r="G21" i="41"/>
  <c r="G40" i="41" l="1"/>
  <c r="G22" i="35"/>
  <c r="I21" i="35"/>
  <c r="G22" i="41"/>
  <c r="I21" i="41"/>
  <c r="G40" i="35"/>
  <c r="L21" i="35" l="1"/>
  <c r="G41" i="35"/>
  <c r="L21" i="41"/>
  <c r="G23" i="41"/>
  <c r="I22" i="41"/>
  <c r="L22" i="41" s="1"/>
  <c r="G23" i="35"/>
  <c r="I22" i="35"/>
  <c r="L22" i="35" s="1"/>
  <c r="G41" i="41"/>
  <c r="G42" i="41" l="1"/>
  <c r="G24" i="41"/>
  <c r="I23" i="41"/>
  <c r="L23" i="41" s="1"/>
  <c r="G42" i="35"/>
  <c r="G24" i="35"/>
  <c r="I23" i="35"/>
  <c r="L23" i="35" s="1"/>
  <c r="G25" i="41" l="1"/>
  <c r="I24" i="41"/>
  <c r="G25" i="35"/>
  <c r="I24" i="35"/>
  <c r="G43" i="35"/>
  <c r="G43" i="41"/>
  <c r="G26" i="35" l="1"/>
  <c r="I25" i="35"/>
  <c r="L25" i="35" s="1"/>
  <c r="G44" i="35"/>
  <c r="L24" i="41"/>
  <c r="G44" i="41"/>
  <c r="L24" i="35"/>
  <c r="G26" i="41"/>
  <c r="I25" i="41"/>
  <c r="L25" i="41" s="1"/>
  <c r="G45" i="35" l="1"/>
  <c r="G45" i="41"/>
  <c r="G27" i="41"/>
  <c r="I26" i="41"/>
  <c r="L26" i="41" s="1"/>
  <c r="G27" i="35"/>
  <c r="I26" i="35"/>
  <c r="G28" i="41" l="1"/>
  <c r="I27" i="41"/>
  <c r="L27" i="41" s="1"/>
  <c r="L26" i="35"/>
  <c r="G28" i="35"/>
  <c r="I27" i="35"/>
  <c r="L27" i="35" s="1"/>
  <c r="G46" i="41"/>
  <c r="G46" i="35"/>
  <c r="G47" i="41" l="1"/>
  <c r="G29" i="35"/>
  <c r="I28" i="35"/>
  <c r="L28" i="35" s="1"/>
  <c r="G47" i="35"/>
  <c r="G29" i="41"/>
  <c r="I28" i="41"/>
  <c r="L28" i="41" s="1"/>
  <c r="G30" i="35" l="1"/>
  <c r="I29" i="35"/>
  <c r="L29" i="35" s="1"/>
  <c r="G30" i="41"/>
  <c r="I29" i="41"/>
  <c r="L29" i="41" s="1"/>
  <c r="G48" i="35"/>
  <c r="G48" i="41"/>
  <c r="G31" i="41" l="1"/>
  <c r="I30" i="41"/>
  <c r="L30" i="41" s="1"/>
  <c r="G49" i="41"/>
  <c r="G49" i="35"/>
  <c r="G31" i="35"/>
  <c r="I30" i="35"/>
  <c r="L30" i="35" s="1"/>
  <c r="G32" i="41" l="1"/>
  <c r="I31" i="41"/>
  <c r="L31" i="41" s="1"/>
  <c r="G50" i="41"/>
  <c r="G32" i="35"/>
  <c r="I31" i="35"/>
  <c r="L31" i="35" s="1"/>
  <c r="G50" i="35"/>
  <c r="G36" i="35" l="1"/>
  <c r="I32" i="35"/>
  <c r="G36" i="41"/>
  <c r="I32" i="41"/>
  <c r="L32" i="41" l="1"/>
  <c r="L33" i="41" s="1"/>
  <c r="E36" i="41" s="1"/>
  <c r="I33" i="41"/>
  <c r="L32" i="35"/>
  <c r="L33" i="35" s="1"/>
  <c r="E36" i="35" s="1"/>
  <c r="I36" i="35" s="1"/>
  <c r="L36" i="35" s="1"/>
  <c r="I33" i="35"/>
  <c r="E39" i="35" l="1"/>
  <c r="J39" i="35"/>
  <c r="I36" i="41"/>
  <c r="L36" i="41" s="1"/>
  <c r="E39" i="41" l="1"/>
  <c r="J39" i="41"/>
  <c r="J40" i="35"/>
  <c r="J41" i="35" s="1"/>
  <c r="J42" i="35" s="1"/>
  <c r="J43" i="35" s="1"/>
  <c r="J44" i="35" s="1"/>
  <c r="J45" i="35" s="1"/>
  <c r="J46" i="35" s="1"/>
  <c r="J47" i="35" s="1"/>
  <c r="J48" i="35" s="1"/>
  <c r="J49" i="35" s="1"/>
  <c r="J50" i="35" s="1"/>
  <c r="L39" i="35"/>
  <c r="E40" i="35" s="1"/>
  <c r="I39" i="35"/>
  <c r="L40" i="35" l="1"/>
  <c r="E41" i="35" s="1"/>
  <c r="I40" i="35"/>
  <c r="J53" i="35"/>
  <c r="J40" i="41"/>
  <c r="J41" i="41" s="1"/>
  <c r="J42" i="41" s="1"/>
  <c r="J43" i="41" s="1"/>
  <c r="J44" i="41" s="1"/>
  <c r="J45" i="41" s="1"/>
  <c r="J46" i="41" s="1"/>
  <c r="J47" i="41" s="1"/>
  <c r="J48" i="41" s="1"/>
  <c r="J49" i="41" s="1"/>
  <c r="J50" i="41" s="1"/>
  <c r="J53" i="41" s="1"/>
  <c r="L39" i="41"/>
  <c r="E40" i="41" s="1"/>
  <c r="I39" i="41"/>
  <c r="J55" i="35" l="1"/>
  <c r="J55" i="41"/>
  <c r="L40" i="41"/>
  <c r="E41" i="41" s="1"/>
  <c r="I40" i="41"/>
  <c r="L41" i="35"/>
  <c r="E42" i="35" s="1"/>
  <c r="I41" i="35"/>
  <c r="L42" i="35" l="1"/>
  <c r="E43" i="35" s="1"/>
  <c r="I42" i="35"/>
  <c r="L41" i="41"/>
  <c r="E42" i="41" s="1"/>
  <c r="I41" i="41"/>
  <c r="L42" i="41" l="1"/>
  <c r="E43" i="41" s="1"/>
  <c r="I42" i="41"/>
  <c r="L43" i="35"/>
  <c r="E44" i="35" s="1"/>
  <c r="I43" i="35"/>
  <c r="L44" i="35" l="1"/>
  <c r="E45" i="35" s="1"/>
  <c r="I44" i="35"/>
  <c r="L43" i="41"/>
  <c r="E44" i="41" s="1"/>
  <c r="I43" i="41"/>
  <c r="L44" i="41" l="1"/>
  <c r="E45" i="41" s="1"/>
  <c r="I44" i="41"/>
  <c r="L45" i="35"/>
  <c r="E46" i="35" s="1"/>
  <c r="I45" i="35"/>
  <c r="L46" i="35" l="1"/>
  <c r="E47" i="35" s="1"/>
  <c r="I46" i="35"/>
  <c r="L45" i="41"/>
  <c r="E46" i="41" s="1"/>
  <c r="I45" i="41"/>
  <c r="L46" i="41" l="1"/>
  <c r="E47" i="41" s="1"/>
  <c r="I46" i="41"/>
  <c r="L47" i="35"/>
  <c r="E48" i="35" s="1"/>
  <c r="I47" i="35"/>
  <c r="L48" i="35" l="1"/>
  <c r="E49" i="35" s="1"/>
  <c r="I48" i="35"/>
  <c r="L47" i="41"/>
  <c r="E48" i="41" s="1"/>
  <c r="I47" i="41"/>
  <c r="L48" i="41" l="1"/>
  <c r="E49" i="41" s="1"/>
  <c r="I48" i="41"/>
  <c r="L49" i="35"/>
  <c r="E50" i="35" s="1"/>
  <c r="I49" i="35"/>
  <c r="L50" i="35" l="1"/>
  <c r="I50" i="35"/>
  <c r="I51" i="35" s="1"/>
  <c r="L49" i="41"/>
  <c r="E50" i="41" s="1"/>
  <c r="I49" i="41"/>
  <c r="L50" i="41" l="1"/>
  <c r="I50" i="41"/>
  <c r="I51" i="41" s="1"/>
  <c r="B92" i="2"/>
  <c r="B93" i="2" s="1"/>
  <c r="B94" i="2" s="1"/>
  <c r="B95" i="2" s="1"/>
  <c r="A92" i="36"/>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A92" i="37"/>
  <c r="A93" i="37" s="1"/>
  <c r="A94" i="37" s="1"/>
  <c r="A95" i="37" s="1"/>
  <c r="A96" i="37" s="1"/>
  <c r="A97" i="37" s="1"/>
  <c r="A98" i="37" s="1"/>
  <c r="A99" i="37" s="1"/>
  <c r="A100" i="37" s="1"/>
  <c r="A101" i="37" s="1"/>
  <c r="A102" i="37" s="1"/>
  <c r="A103" i="37" s="1"/>
  <c r="A104" i="37" s="1"/>
  <c r="A105" i="37" s="1"/>
  <c r="A106" i="37" s="1"/>
  <c r="A107" i="37" s="1"/>
  <c r="E96" i="2" l="1"/>
  <c r="B96" i="2"/>
  <c r="B98" i="2" s="1"/>
  <c r="B100" i="2" s="1"/>
  <c r="B102" i="2" s="1"/>
  <c r="B104" i="2" s="1"/>
  <c r="B105" i="2" s="1"/>
  <c r="B106" i="2" s="1"/>
  <c r="B108" i="2" s="1"/>
  <c r="B109" i="2" s="1"/>
  <c r="B110" i="2" s="1"/>
  <c r="B111" i="2" s="1"/>
  <c r="B112" i="2" s="1"/>
  <c r="B113" i="2" s="1"/>
  <c r="B114" i="2" s="1"/>
  <c r="B116" i="2" s="1"/>
  <c r="D118" i="2" l="1"/>
  <c r="D318" i="2"/>
  <c r="B118" i="2"/>
  <c r="E114" i="2"/>
  <c r="B133" i="2" l="1"/>
  <c r="C28" i="13"/>
  <c r="C28" i="20"/>
  <c r="B134" i="2" l="1"/>
  <c r="B135" i="2" s="1"/>
  <c r="B136" i="2" l="1"/>
  <c r="B137" i="2" s="1"/>
  <c r="E136" i="2"/>
  <c r="E41" i="2" l="1"/>
  <c r="D313" i="2"/>
  <c r="B138" i="2"/>
  <c r="B139" i="2" s="1"/>
  <c r="E140" i="2" l="1"/>
  <c r="B140" i="2"/>
  <c r="D315" i="2"/>
  <c r="B142" i="2" l="1"/>
  <c r="D312" i="2"/>
  <c r="E105" i="2"/>
  <c r="B143" i="2" l="1"/>
  <c r="E148" i="2" l="1"/>
  <c r="B144" i="2"/>
  <c r="B145" i="2" s="1"/>
  <c r="B146" i="2" s="1"/>
  <c r="B147" i="2" s="1"/>
  <c r="E147" i="2" l="1"/>
  <c r="B148" i="2"/>
  <c r="B149" i="2" s="1"/>
  <c r="B150" i="2" s="1"/>
  <c r="B151" i="2" s="1"/>
  <c r="B152" i="2" s="1"/>
  <c r="B154" i="2" s="1"/>
  <c r="E154" i="2" l="1"/>
  <c r="B156" i="2"/>
  <c r="D316" i="2"/>
  <c r="E156" i="2"/>
  <c r="B157" i="2" l="1"/>
  <c r="E158" i="2" s="1"/>
  <c r="B158" i="2" l="1"/>
  <c r="D331" i="2"/>
  <c r="D329" i="2"/>
  <c r="C48" i="13"/>
  <c r="C48" i="20"/>
  <c r="E27" i="2"/>
  <c r="D326" i="2"/>
  <c r="B160" i="2" l="1"/>
  <c r="B161" i="2" s="1"/>
  <c r="C59" i="20" l="1"/>
  <c r="B162" i="2"/>
  <c r="B163" i="2" s="1"/>
  <c r="B165" i="2" s="1"/>
  <c r="C76" i="20"/>
  <c r="C76" i="13"/>
  <c r="C59" i="13"/>
  <c r="E31" i="2"/>
  <c r="E165" i="2" l="1"/>
  <c r="B167" i="2"/>
  <c r="B168" i="2" s="1"/>
  <c r="B169" i="2" s="1"/>
  <c r="B170" i="2" l="1"/>
  <c r="B171" i="2" s="1"/>
  <c r="B172" i="2" s="1"/>
  <c r="B173" i="2" s="1"/>
  <c r="B174" i="2" s="1"/>
  <c r="E174" i="2" l="1"/>
  <c r="B176" i="2"/>
  <c r="B177" i="2" s="1"/>
  <c r="D181" i="2" l="1"/>
  <c r="B178" i="2"/>
  <c r="C35" i="20" l="1"/>
  <c r="B179" i="2"/>
  <c r="B180" i="2" s="1"/>
  <c r="B181" i="2" s="1"/>
  <c r="C35" i="13"/>
  <c r="B182" i="2" l="1"/>
  <c r="E186" i="2" s="1"/>
  <c r="D356" i="2" l="1"/>
  <c r="B183" i="2"/>
  <c r="B184" i="2" l="1"/>
  <c r="E187" i="2"/>
  <c r="B185" i="2" l="1"/>
  <c r="E188" i="2"/>
  <c r="B186" i="2" l="1"/>
  <c r="B187" i="2" s="1"/>
  <c r="B188" i="2" s="1"/>
  <c r="B189" i="2" s="1"/>
  <c r="E189" i="2" l="1"/>
  <c r="B191" i="2"/>
  <c r="E34" i="2" s="1"/>
  <c r="C50" i="20"/>
  <c r="C50" i="13"/>
  <c r="C49" i="13" l="1"/>
  <c r="B193" i="2"/>
  <c r="C49" i="20"/>
  <c r="E185" i="2"/>
  <c r="D320" i="2" l="1"/>
  <c r="B195" i="2"/>
  <c r="D197" i="2" l="1"/>
  <c r="B197" i="2"/>
  <c r="B199" i="2" l="1"/>
  <c r="D200" i="2"/>
  <c r="B212" i="2" l="1"/>
  <c r="E13" i="2"/>
  <c r="B213" i="2" l="1"/>
  <c r="B214" i="2" s="1"/>
  <c r="B215" i="2" s="1"/>
  <c r="E215" i="2" l="1"/>
  <c r="B217" i="2"/>
  <c r="B226" i="2" s="1"/>
  <c r="B227" i="2" s="1"/>
  <c r="B228" i="2" s="1"/>
  <c r="E217" i="2"/>
  <c r="E63" i="2"/>
  <c r="B229" i="2" l="1"/>
  <c r="B231" i="2" s="1"/>
  <c r="B232" i="2" s="1"/>
  <c r="B233" i="2" s="1"/>
  <c r="B235" i="2" s="1"/>
  <c r="B238" i="2" s="1"/>
  <c r="B239" i="2" s="1"/>
  <c r="B240" i="2" l="1"/>
  <c r="B241" i="2" s="1"/>
  <c r="B242" i="2" s="1"/>
  <c r="E233" i="2"/>
  <c r="B243" i="2" l="1"/>
  <c r="B244" i="2" l="1"/>
  <c r="D250" i="2"/>
  <c r="B245" i="2" l="1"/>
  <c r="B246" i="2" s="1"/>
  <c r="E246" i="2" l="1"/>
  <c r="D251" i="2"/>
  <c r="B249" i="2"/>
  <c r="B250" i="2" l="1"/>
  <c r="B251" i="2" s="1"/>
  <c r="C19" i="13" s="1"/>
  <c r="C19" i="20" l="1"/>
  <c r="D367" i="2"/>
  <c r="B252" i="2"/>
  <c r="C16" i="20"/>
  <c r="C16" i="13"/>
  <c r="D252" i="2"/>
  <c r="B254" i="2" l="1"/>
  <c r="B257" i="2" s="1"/>
  <c r="B258" i="2" s="1"/>
  <c r="B259" i="2" s="1"/>
  <c r="B260" i="2" s="1"/>
  <c r="B261" i="2" s="1"/>
  <c r="E191" i="2"/>
  <c r="D179" i="2"/>
  <c r="B262" i="2" l="1"/>
  <c r="B263" i="2" s="1"/>
  <c r="B264" i="2" s="1"/>
  <c r="B265" i="2" s="1"/>
  <c r="B267" i="2" s="1"/>
  <c r="B268" i="2" s="1"/>
  <c r="B269" i="2" s="1"/>
  <c r="B270" i="2" s="1"/>
  <c r="B271" i="2" s="1"/>
  <c r="E265" i="2" l="1"/>
  <c r="F101" i="31" l="1"/>
  <c r="E30" i="31"/>
  <c r="I31" i="31"/>
  <c r="I30" i="31" s="1"/>
  <c r="E21" i="11" l="1"/>
  <c r="E37" i="31"/>
  <c r="E22" i="11" s="1"/>
  <c r="G22" i="11" s="1"/>
  <c r="I38" i="31"/>
  <c r="I37" i="31" s="1"/>
  <c r="I22" i="31" s="1"/>
  <c r="L171" i="2" s="1"/>
  <c r="L174" i="2" s="1"/>
  <c r="E101" i="31" l="1"/>
  <c r="E22" i="31"/>
  <c r="G171" i="2" s="1"/>
  <c r="G174" i="2" s="1"/>
  <c r="G21" i="11"/>
  <c r="G43" i="11" s="1"/>
  <c r="E43" i="11"/>
  <c r="F70" i="9" l="1"/>
  <c r="F72" i="9" l="1"/>
  <c r="G151" i="2" s="1"/>
  <c r="L151" i="2" s="1"/>
  <c r="E70" i="9"/>
  <c r="E67" i="9"/>
  <c r="E68" i="9"/>
  <c r="E69" i="9"/>
  <c r="D72" i="9" l="1"/>
  <c r="G146" i="2" s="1"/>
  <c r="G147" i="2" s="1"/>
  <c r="E72" i="9"/>
  <c r="L147" i="2" l="1"/>
  <c r="L154" i="2" s="1"/>
  <c r="L156" i="2" s="1"/>
  <c r="L158" i="2" s="1"/>
  <c r="G154" i="2"/>
  <c r="G156" i="2" s="1"/>
  <c r="G158" i="2" s="1"/>
  <c r="G28" i="5" l="1"/>
  <c r="I25" i="5" l="1"/>
  <c r="G92" i="2" s="1"/>
  <c r="G44" i="5"/>
  <c r="I43" i="5" l="1"/>
  <c r="I33" i="5"/>
  <c r="I41" i="5"/>
  <c r="E36" i="5"/>
  <c r="E44" i="5" l="1"/>
  <c r="I35" i="5"/>
  <c r="I36" i="5" s="1"/>
  <c r="L93" i="2" s="1"/>
  <c r="G20" i="5"/>
  <c r="I44" i="5"/>
  <c r="L94" i="2" s="1"/>
  <c r="G94" i="2"/>
  <c r="G93" i="2"/>
  <c r="I17" i="5"/>
  <c r="G36" i="5"/>
  <c r="G91" i="2" l="1"/>
  <c r="G96" i="2" s="1"/>
  <c r="G118" i="2" s="1"/>
  <c r="G191" i="2" s="1"/>
  <c r="E20" i="5" l="1"/>
  <c r="I19" i="5"/>
  <c r="I20" i="5" s="1"/>
  <c r="L91" i="2" s="1"/>
  <c r="G185" i="2"/>
  <c r="G189" i="2" s="1"/>
  <c r="G199" i="2" s="1"/>
  <c r="E28" i="5" l="1"/>
  <c r="I27" i="5"/>
  <c r="I28" i="5" s="1"/>
  <c r="L92" i="2" s="1"/>
  <c r="L96" i="2" s="1"/>
  <c r="L118" i="2" s="1"/>
  <c r="E28" i="13" l="1"/>
  <c r="E30" i="13" s="1"/>
  <c r="F28" i="20"/>
  <c r="F30" i="20" s="1"/>
  <c r="L191" i="2"/>
  <c r="L185" i="2" l="1"/>
  <c r="L189" i="2" s="1"/>
  <c r="F50" i="13" s="1"/>
  <c r="G49" i="20"/>
  <c r="F49" i="13"/>
  <c r="G56" i="20"/>
  <c r="F34" i="20"/>
  <c r="F36" i="20" s="1"/>
  <c r="F40" i="20" s="1"/>
  <c r="F56" i="13"/>
  <c r="E34" i="13"/>
  <c r="E36" i="13" s="1"/>
  <c r="E40" i="13" s="1"/>
  <c r="F57" i="13" s="1"/>
  <c r="L199" i="2" l="1"/>
  <c r="L13" i="2" s="1"/>
  <c r="G50" i="20"/>
  <c r="G57" i="20"/>
  <c r="L18" i="2" l="1"/>
  <c r="F47" i="13"/>
  <c r="F51" i="13" s="1"/>
  <c r="F55" i="13" s="1"/>
  <c r="F58" i="13" s="1"/>
  <c r="F60" i="13" s="1"/>
  <c r="F68" i="13" s="1"/>
  <c r="F69" i="13" s="1"/>
  <c r="L27" i="2"/>
  <c r="L28" i="2" s="1"/>
  <c r="G47" i="20"/>
  <c r="G51" i="20" s="1"/>
  <c r="G55" i="20" s="1"/>
  <c r="G58" i="20" s="1"/>
  <c r="L34" i="2"/>
  <c r="L31" i="2"/>
  <c r="F70" i="13" s="1"/>
  <c r="J95" i="13" s="1"/>
  <c r="F65" i="13" l="1"/>
  <c r="F66" i="13" s="1"/>
  <c r="G65" i="20"/>
  <c r="G66" i="20" s="1"/>
  <c r="G60" i="20"/>
  <c r="G68" i="20" s="1"/>
  <c r="G69" i="20" s="1"/>
  <c r="G70" i="20"/>
  <c r="I96" i="20" s="1"/>
  <c r="G104" i="20" s="1"/>
  <c r="F71" i="13"/>
  <c r="H112" i="13"/>
  <c r="H138" i="13"/>
  <c r="H117" i="13"/>
  <c r="H151" i="13"/>
  <c r="H102" i="13"/>
  <c r="H148" i="13"/>
  <c r="H101" i="13"/>
  <c r="H118" i="13"/>
  <c r="H110" i="13"/>
  <c r="H154" i="13"/>
  <c r="H100" i="13"/>
  <c r="H152" i="13"/>
  <c r="H120" i="13"/>
  <c r="H115" i="13"/>
  <c r="H149" i="13"/>
  <c r="H121" i="13"/>
  <c r="H136" i="13"/>
  <c r="H116" i="13"/>
  <c r="H129" i="13"/>
  <c r="H156" i="13"/>
  <c r="H123" i="13"/>
  <c r="H144" i="13"/>
  <c r="H108" i="13"/>
  <c r="H128" i="13"/>
  <c r="H147" i="13"/>
  <c r="H141" i="13"/>
  <c r="H143" i="13"/>
  <c r="H132" i="13"/>
  <c r="H126" i="13"/>
  <c r="H159" i="13"/>
  <c r="H142" i="13"/>
  <c r="H133" i="13"/>
  <c r="H140" i="13"/>
  <c r="H155" i="13"/>
  <c r="H113" i="13"/>
  <c r="H134" i="13"/>
  <c r="H150" i="13"/>
  <c r="H131" i="13"/>
  <c r="H111" i="13"/>
  <c r="J96" i="13"/>
  <c r="H125" i="13"/>
  <c r="H104" i="13"/>
  <c r="H105" i="13"/>
  <c r="H130" i="13"/>
  <c r="H107" i="13"/>
  <c r="H135" i="13"/>
  <c r="H119" i="13"/>
  <c r="H114" i="13"/>
  <c r="H146" i="13"/>
  <c r="H145" i="13"/>
  <c r="H122" i="13"/>
  <c r="H106" i="13"/>
  <c r="H157" i="13"/>
  <c r="H103" i="13"/>
  <c r="H109" i="13"/>
  <c r="H139" i="13"/>
  <c r="H153" i="13"/>
  <c r="H158" i="13"/>
  <c r="H127" i="13"/>
  <c r="H137" i="13"/>
  <c r="H124" i="13"/>
  <c r="G152" i="20" l="1"/>
  <c r="G132" i="20"/>
  <c r="G148" i="20"/>
  <c r="G156" i="20"/>
  <c r="G125" i="20"/>
  <c r="G143" i="20"/>
  <c r="G128" i="20"/>
  <c r="G118" i="20"/>
  <c r="G131" i="20"/>
  <c r="G108" i="20"/>
  <c r="G107" i="20"/>
  <c r="G121" i="20"/>
  <c r="G145" i="20"/>
  <c r="G136" i="20"/>
  <c r="G159" i="20"/>
  <c r="G122" i="20"/>
  <c r="G123" i="20"/>
  <c r="G117" i="20"/>
  <c r="G134" i="20"/>
  <c r="G126" i="20"/>
  <c r="G141" i="20"/>
  <c r="G158" i="20"/>
  <c r="G130" i="20"/>
  <c r="G155" i="20"/>
  <c r="G116" i="20"/>
  <c r="G120" i="20"/>
  <c r="G115" i="20"/>
  <c r="G150" i="20"/>
  <c r="G142" i="20"/>
  <c r="G140" i="20"/>
  <c r="G129" i="20"/>
  <c r="G119" i="20"/>
  <c r="G147" i="20"/>
  <c r="G137" i="20"/>
  <c r="G106" i="20"/>
  <c r="G127" i="20"/>
  <c r="G109" i="20"/>
  <c r="G138" i="20"/>
  <c r="G160" i="20"/>
  <c r="G105" i="20"/>
  <c r="G101" i="20"/>
  <c r="G135" i="20"/>
  <c r="G124" i="20"/>
  <c r="G71" i="20"/>
  <c r="I97" i="20"/>
  <c r="H106" i="20" s="1"/>
  <c r="G114" i="20"/>
  <c r="G133" i="20"/>
  <c r="G144" i="20"/>
  <c r="G102" i="20"/>
  <c r="G112" i="20"/>
  <c r="G149" i="20"/>
  <c r="G157" i="20"/>
  <c r="G139" i="20"/>
  <c r="G103" i="20"/>
  <c r="G153" i="20"/>
  <c r="G154" i="20"/>
  <c r="G113" i="20"/>
  <c r="G111" i="20"/>
  <c r="G146" i="20"/>
  <c r="G110" i="20"/>
  <c r="G151" i="20"/>
  <c r="I153" i="13"/>
  <c r="J153" i="13" s="1"/>
  <c r="I154" i="13"/>
  <c r="J154" i="13" s="1"/>
  <c r="I106" i="13"/>
  <c r="J106" i="13" s="1"/>
  <c r="I135" i="13"/>
  <c r="J135" i="13" s="1"/>
  <c r="I132" i="13"/>
  <c r="J132" i="13" s="1"/>
  <c r="I111" i="13"/>
  <c r="J111" i="13" s="1"/>
  <c r="I149" i="13"/>
  <c r="J149" i="13" s="1"/>
  <c r="I104" i="13"/>
  <c r="J104" i="13" s="1"/>
  <c r="I103" i="13"/>
  <c r="J103" i="13" s="1"/>
  <c r="I113" i="13"/>
  <c r="J113" i="13" s="1"/>
  <c r="I122" i="13"/>
  <c r="J122" i="13" s="1"/>
  <c r="I118" i="13"/>
  <c r="J118" i="13" s="1"/>
  <c r="I100" i="13"/>
  <c r="I143" i="13"/>
  <c r="J143" i="13" s="1"/>
  <c r="I125" i="13"/>
  <c r="J125" i="13" s="1"/>
  <c r="I142" i="13"/>
  <c r="J142" i="13" s="1"/>
  <c r="I144" i="13"/>
  <c r="J144" i="13" s="1"/>
  <c r="I107" i="13"/>
  <c r="J107" i="13" s="1"/>
  <c r="I157" i="13"/>
  <c r="J157" i="13" s="1"/>
  <c r="I116" i="13"/>
  <c r="J116" i="13" s="1"/>
  <c r="I114" i="13"/>
  <c r="J114" i="13" s="1"/>
  <c r="I124" i="13"/>
  <c r="J124" i="13" s="1"/>
  <c r="I121" i="13"/>
  <c r="J121" i="13" s="1"/>
  <c r="I136" i="13"/>
  <c r="J136" i="13" s="1"/>
  <c r="I155" i="13"/>
  <c r="J155" i="13" s="1"/>
  <c r="I110" i="13"/>
  <c r="J110" i="13" s="1"/>
  <c r="I128" i="13"/>
  <c r="J128" i="13" s="1"/>
  <c r="I148" i="13"/>
  <c r="J148" i="13" s="1"/>
  <c r="I158" i="13"/>
  <c r="J158" i="13" s="1"/>
  <c r="I129" i="13"/>
  <c r="J129" i="13" s="1"/>
  <c r="I133" i="13"/>
  <c r="J133" i="13" s="1"/>
  <c r="I109" i="13"/>
  <c r="J109" i="13" s="1"/>
  <c r="I140" i="13"/>
  <c r="J140" i="13" s="1"/>
  <c r="I112" i="13"/>
  <c r="J112" i="13" s="1"/>
  <c r="I119" i="13"/>
  <c r="J119" i="13" s="1"/>
  <c r="I137" i="13"/>
  <c r="J137" i="13" s="1"/>
  <c r="I108" i="13"/>
  <c r="J108" i="13" s="1"/>
  <c r="I134" i="13"/>
  <c r="J134" i="13" s="1"/>
  <c r="I146" i="13"/>
  <c r="J146" i="13" s="1"/>
  <c r="I101" i="13"/>
  <c r="J101" i="13" s="1"/>
  <c r="I102" i="13"/>
  <c r="J102" i="13" s="1"/>
  <c r="I117" i="13"/>
  <c r="J117" i="13" s="1"/>
  <c r="I150" i="13"/>
  <c r="J150" i="13" s="1"/>
  <c r="I127" i="13"/>
  <c r="J127" i="13" s="1"/>
  <c r="I131" i="13"/>
  <c r="J131" i="13" s="1"/>
  <c r="I123" i="13"/>
  <c r="J123" i="13" s="1"/>
  <c r="I130" i="13"/>
  <c r="J130" i="13" s="1"/>
  <c r="I159" i="13"/>
  <c r="J159" i="13" s="1"/>
  <c r="I141" i="13"/>
  <c r="J141" i="13" s="1"/>
  <c r="I151" i="13"/>
  <c r="J151" i="13" s="1"/>
  <c r="I138" i="13"/>
  <c r="J138" i="13" s="1"/>
  <c r="I145" i="13"/>
  <c r="J145" i="13" s="1"/>
  <c r="I115" i="13"/>
  <c r="J115" i="13" s="1"/>
  <c r="I126" i="13"/>
  <c r="J126" i="13" s="1"/>
  <c r="I147" i="13"/>
  <c r="J147" i="13" s="1"/>
  <c r="I139" i="13"/>
  <c r="J139" i="13" s="1"/>
  <c r="I152" i="13"/>
  <c r="J152" i="13" s="1"/>
  <c r="I120" i="13"/>
  <c r="J120" i="13" s="1"/>
  <c r="I105" i="13"/>
  <c r="J105" i="13" s="1"/>
  <c r="I156" i="13"/>
  <c r="J156" i="13" s="1"/>
  <c r="H160" i="13"/>
  <c r="H118" i="20" l="1"/>
  <c r="I118" i="20" s="1"/>
  <c r="H144" i="20"/>
  <c r="I144" i="20" s="1"/>
  <c r="H115" i="20"/>
  <c r="I115" i="20" s="1"/>
  <c r="H101" i="20"/>
  <c r="I101" i="20" s="1"/>
  <c r="H136" i="20"/>
  <c r="I136" i="20" s="1"/>
  <c r="H149" i="20"/>
  <c r="I149" i="20" s="1"/>
  <c r="H134" i="20"/>
  <c r="I134" i="20" s="1"/>
  <c r="H123" i="20"/>
  <c r="I123" i="20" s="1"/>
  <c r="H104" i="20"/>
  <c r="I104" i="20" s="1"/>
  <c r="H132" i="20"/>
  <c r="I132" i="20" s="1"/>
  <c r="H124" i="20"/>
  <c r="I124" i="20" s="1"/>
  <c r="I106" i="20"/>
  <c r="H159" i="20"/>
  <c r="I159" i="20" s="1"/>
  <c r="H114" i="20"/>
  <c r="I114" i="20" s="1"/>
  <c r="H111" i="20"/>
  <c r="I111" i="20" s="1"/>
  <c r="H152" i="20"/>
  <c r="I152" i="20" s="1"/>
  <c r="H153" i="20"/>
  <c r="I153" i="20" s="1"/>
  <c r="H105" i="20"/>
  <c r="I105" i="20" s="1"/>
  <c r="H125" i="20"/>
  <c r="I125" i="20" s="1"/>
  <c r="H135" i="20"/>
  <c r="I135" i="20" s="1"/>
  <c r="H137" i="20"/>
  <c r="I137" i="20" s="1"/>
  <c r="H126" i="20"/>
  <c r="I126" i="20" s="1"/>
  <c r="H102" i="20"/>
  <c r="I102" i="20" s="1"/>
  <c r="H160" i="20"/>
  <c r="I160" i="20" s="1"/>
  <c r="H116" i="20"/>
  <c r="I116" i="20" s="1"/>
  <c r="H109" i="20"/>
  <c r="I109" i="20" s="1"/>
  <c r="H145" i="20"/>
  <c r="I145" i="20" s="1"/>
  <c r="H148" i="20"/>
  <c r="I148" i="20" s="1"/>
  <c r="H121" i="20"/>
  <c r="I121" i="20" s="1"/>
  <c r="H122" i="20"/>
  <c r="I122" i="20" s="1"/>
  <c r="H108" i="20"/>
  <c r="I108" i="20" s="1"/>
  <c r="H139" i="20"/>
  <c r="I139" i="20" s="1"/>
  <c r="H138" i="20"/>
  <c r="I138" i="20" s="1"/>
  <c r="H107" i="20"/>
  <c r="I107" i="20" s="1"/>
  <c r="H103" i="20"/>
  <c r="I103" i="20" s="1"/>
  <c r="H156" i="20"/>
  <c r="I156" i="20" s="1"/>
  <c r="H141" i="20"/>
  <c r="I141" i="20" s="1"/>
  <c r="H133" i="20"/>
  <c r="I133" i="20" s="1"/>
  <c r="H130" i="20"/>
  <c r="I130" i="20" s="1"/>
  <c r="H120" i="20"/>
  <c r="I120" i="20" s="1"/>
  <c r="H155" i="20"/>
  <c r="I155" i="20" s="1"/>
  <c r="H147" i="20"/>
  <c r="I147" i="20" s="1"/>
  <c r="H117" i="20"/>
  <c r="I117" i="20" s="1"/>
  <c r="H154" i="20"/>
  <c r="I154" i="20" s="1"/>
  <c r="H119" i="20"/>
  <c r="I119" i="20" s="1"/>
  <c r="H158" i="20"/>
  <c r="I158" i="20" s="1"/>
  <c r="H157" i="20"/>
  <c r="I157" i="20" s="1"/>
  <c r="H140" i="20"/>
  <c r="I140" i="20" s="1"/>
  <c r="H110" i="20"/>
  <c r="I110" i="20" s="1"/>
  <c r="H129" i="20"/>
  <c r="I129" i="20" s="1"/>
  <c r="H127" i="20"/>
  <c r="I127" i="20" s="1"/>
  <c r="H151" i="20"/>
  <c r="I151" i="20" s="1"/>
  <c r="H146" i="20"/>
  <c r="I146" i="20" s="1"/>
  <c r="H143" i="20"/>
  <c r="I143" i="20" s="1"/>
  <c r="H112" i="20"/>
  <c r="I112" i="20" s="1"/>
  <c r="H150" i="20"/>
  <c r="I150" i="20" s="1"/>
  <c r="H128" i="20"/>
  <c r="I128" i="20" s="1"/>
  <c r="H142" i="20"/>
  <c r="I142" i="20" s="1"/>
  <c r="H113" i="20"/>
  <c r="I113" i="20" s="1"/>
  <c r="H131" i="20"/>
  <c r="I131" i="20" s="1"/>
  <c r="G161" i="20"/>
  <c r="J100" i="13"/>
  <c r="J160" i="13" s="1"/>
  <c r="I160" i="13"/>
  <c r="H161" i="20" l="1"/>
  <c r="I161" i="20"/>
</calcChain>
</file>

<file path=xl/sharedStrings.xml><?xml version="1.0" encoding="utf-8"?>
<sst xmlns="http://schemas.openxmlformats.org/spreadsheetml/2006/main" count="1808" uniqueCount="982">
  <si>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</si>
  <si>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</si>
  <si>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</si>
  <si>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</si>
  <si>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</si>
  <si>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</si>
  <si>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</si>
  <si>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</si>
  <si>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</si>
  <si>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</si>
  <si>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</si>
  <si>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</si>
  <si>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</si>
  <si>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</si>
  <si>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</si>
  <si>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</si>
  <si>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</si>
  <si>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</si>
  <si>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</si>
  <si>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</si>
  <si>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</si>
  <si>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</si>
  <si>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</si>
  <si>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</si>
  <si>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</si>
  <si>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</si>
  <si>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</si>
  <si>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</si>
  <si>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</si>
  <si>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</si>
  <si>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</si>
  <si>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</si>
  <si>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</si>
  <si>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</si>
  <si>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</si>
  <si>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</si>
  <si>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</si>
  <si>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</si>
  <si>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</si>
  <si>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</si>
  <si>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</si>
  <si>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</si>
  <si>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</si>
  <si>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</si>
  <si>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</si>
  <si>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</si>
  <si>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</si>
  <si>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</si>
  <si>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</si>
  <si>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</si>
  <si>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</si>
  <si>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</si>
  <si>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</si>
  <si>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</si>
  <si>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</si>
  <si>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</si>
  <si>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</si>
  <si>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</si>
  <si>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</si>
  <si>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</si>
  <si>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</si>
  <si>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</si>
  <si>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</si>
  <si>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</si>
  <si>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</si>
  <si>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</si>
  <si>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</si>
  <si>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</si>
  <si>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</si>
  <si>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</si>
  <si>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</si>
  <si>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</si>
  <si>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</si>
  <si>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</si>
  <si>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</si>
  <si>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</si>
  <si>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</si>
  <si>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</si>
  <si>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</si>
  <si>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</si>
  <si>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</si>
  <si>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</si>
  <si>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</si>
  <si>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</si>
  <si>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</si>
  <si>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</si>
  <si>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</si>
  <si>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</si>
  <si>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</si>
  <si>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</si>
  <si>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</si>
  <si>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</si>
  <si>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</si>
  <si>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</si>
  <si>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</si>
  <si>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</si>
  <si>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</si>
  <si>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</si>
  <si>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</si>
  <si>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</si>
  <si>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</si>
  <si>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</si>
  <si>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</si>
  <si>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</si>
  <si>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</si>
  <si>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</si>
  <si>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</si>
  <si>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</si>
  <si>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</si>
  <si>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</si>
  <si>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</si>
  <si>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</si>
  <si>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</si>
  <si>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</si>
  <si>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</si>
  <si>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</si>
  <si>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</si>
  <si>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</si>
  <si>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</si>
  <si>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</si>
  <si>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</si>
  <si>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</si>
  <si>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</si>
  <si>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</si>
  <si>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</si>
  <si>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</si>
  <si>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</si>
  <si>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</si>
  <si>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</si>
  <si>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</si>
  <si>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</si>
  <si>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</si>
  <si>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</si>
  <si>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</si>
  <si>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</si>
  <si>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</si>
  <si>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</si>
  <si>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</si>
  <si>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</si>
  <si>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</si>
  <si>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</si>
  <si>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</si>
  <si>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</si>
  <si>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</si>
  <si>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</si>
  <si>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</si>
  <si>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</si>
  <si>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</si>
  <si>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</si>
  <si>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</si>
  <si>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</si>
  <si>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</si>
  <si>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</si>
  <si>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</si>
  <si>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</si>
  <si>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</si>
  <si>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</si>
  <si>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</si>
  <si>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</si>
  <si>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</si>
  <si>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</si>
  <si>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</si>
  <si>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</si>
  <si>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</si>
  <si>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</si>
  <si>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</si>
  <si>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</si>
  <si>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</si>
  <si>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</si>
  <si>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</si>
  <si>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</si>
  <si>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</si>
  <si>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</si>
  <si>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</si>
  <si>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</si>
  <si>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</si>
  <si>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</si>
  <si>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</si>
  <si>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</si>
  <si>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</si>
  <si>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</si>
  <si>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</si>
  <si>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</si>
  <si>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</si>
  <si>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</si>
  <si>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</si>
  <si>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</si>
  <si>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</si>
  <si>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</si>
  <si>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</si>
  <si>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</si>
  <si>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</si>
  <si>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</si>
  <si>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</si>
  <si>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</si>
  <si>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</si>
  <si>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</si>
  <si>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</si>
  <si>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</si>
  <si>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</si>
  <si>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</si>
  <si>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</si>
  <si>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</si>
  <si>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</si>
  <si>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</si>
  <si>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</si>
  <si>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</si>
  <si>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</si>
  <si>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</si>
  <si>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</si>
  <si>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</si>
  <si>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</si>
  <si>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</si>
  <si>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</si>
  <si>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</si>
  <si>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</si>
  <si>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</si>
  <si>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</si>
  <si>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</si>
  <si>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</si>
  <si>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</si>
  <si>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</si>
  <si>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</si>
  <si>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</si>
  <si>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</si>
  <si>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</si>
  <si>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</si>
  <si>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</si>
  <si>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</si>
  <si>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</si>
  <si>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</si>
  <si>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</si>
  <si>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</si>
  <si>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</si>
  <si>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</si>
  <si>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</si>
  <si>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</si>
  <si>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</si>
  <si>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</si>
  <si>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</si>
  <si>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</si>
  <si>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</si>
  <si>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</si>
  <si>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</si>
  <si>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</si>
  <si>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</si>
  <si>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</si>
  <si>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</si>
  <si>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</si>
  <si>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</si>
  <si>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</si>
  <si>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</si>
  <si>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</si>
  <si>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</si>
  <si>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</si>
  <si>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</si>
  <si>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</si>
  <si>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</si>
  <si>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</si>
  <si>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</si>
  <si>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</si>
  <si>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</si>
  <si>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</si>
  <si>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</si>
  <si>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</si>
  <si>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</si>
  <si>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</si>
  <si>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</si>
  <si>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</si>
  <si>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</si>
  <si>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</si>
  <si>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</si>
  <si>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</si>
  <si>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</si>
  <si>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</si>
  <si>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</si>
  <si>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</si>
  <si>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</si>
  <si>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</si>
  <si>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</si>
  <si>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</si>
  <si>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</si>
  <si>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</si>
  <si>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</si>
  <si>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</si>
  <si>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</si>
  <si>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</si>
  <si>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</si>
  <si>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</si>
  <si>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</si>
  <si>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</si>
  <si>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</si>
  <si>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</si>
  <si>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</si>
  <si>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</si>
  <si>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</si>
  <si>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</si>
  <si>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</si>
  <si>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</si>
  <si>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</si>
  <si>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</si>
  <si>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</si>
  <si>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</si>
  <si>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</si>
  <si>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</si>
  <si>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</si>
  <si>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</si>
  <si>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</si>
  <si>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</si>
  <si>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</si>
  <si>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</si>
  <si>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</si>
  <si>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</si>
  <si>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</si>
  <si>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</si>
  <si>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</si>
  <si>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</si>
  <si>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</si>
  <si>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</si>
  <si>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</si>
  <si>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</si>
  <si>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</si>
  <si>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</si>
  <si>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</si>
  <si>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</si>
  <si>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</si>
  <si>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</si>
  <si>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</si>
  <si>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</si>
  <si>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</si>
  <si>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</si>
  <si>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</si>
  <si>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</si>
  <si>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</si>
  <si>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</si>
  <si>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</si>
  <si>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</si>
  <si>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</si>
  <si>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</si>
  <si>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</si>
  <si>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</si>
  <si>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</si>
  <si>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</si>
  <si>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</si>
  <si>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</si>
  <si>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</si>
  <si>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</si>
  <si>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</si>
  <si>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</si>
  <si>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</si>
  <si>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</si>
  <si>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</si>
  <si>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</si>
  <si>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</si>
  <si>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</si>
  <si>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</si>
  <si>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</si>
  <si>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</si>
  <si>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</si>
  <si>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</si>
  <si>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</si>
  <si>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</si>
  <si>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</si>
  <si>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</si>
  <si>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</si>
  <si>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</si>
  <si>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</si>
  <si>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</si>
  <si>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</si>
  <si>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</si>
  <si>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</si>
  <si>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</si>
  <si>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</si>
  <si>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</si>
  <si>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</si>
  <si>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</si>
  <si>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</si>
  <si>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</si>
  <si>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</si>
  <si>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</si>
  <si>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</si>
  <si>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</si>
  <si>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</si>
  <si>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</si>
  <si>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</si>
  <si>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</si>
  <si>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</si>
  <si>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</si>
  <si>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</si>
  <si>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</si>
  <si>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</si>
  <si>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</si>
  <si>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</si>
  <si>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</si>
  <si>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</si>
  <si>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</si>
  <si>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</si>
  <si>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</si>
  <si>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</si>
  <si>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</si>
  <si>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</si>
  <si>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</si>
  <si>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</si>
  <si>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</si>
  <si>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</si>
  <si>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</si>
  <si>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</si>
  <si>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</si>
  <si>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</si>
  <si>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</si>
  <si>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</si>
  <si>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</si>
  <si>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</si>
  <si>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</si>
  <si>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</si>
  <si>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</si>
  <si>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</si>
  <si>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</si>
  <si>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</si>
  <si>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</si>
  <si>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</si>
  <si>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</si>
  <si>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</si>
  <si>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</si>
  <si>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</si>
  <si>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</si>
  <si>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</si>
  <si>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</si>
  <si>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</si>
  <si>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</si>
  <si>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</si>
  <si>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</si>
  <si>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</si>
  <si>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</si>
  <si>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</si>
  <si>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</si>
  <si>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</si>
  <si>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</si>
  <si>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</si>
  <si>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</si>
  <si>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</si>
  <si>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</si>
  <si>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</si>
  <si>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</si>
  <si>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</si>
  <si>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</si>
  <si>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</si>
  <si>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</si>
  <si>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</si>
  <si>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</si>
  <si>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</si>
  <si>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</si>
  <si>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</si>
  <si>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</si>
  <si>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</si>
  <si>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</si>
  <si>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</si>
  <si>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</si>
  <si>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</si>
  <si>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</si>
  <si>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</si>
  <si>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</si>
  <si>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</si>
  <si>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</si>
  <si>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</si>
  <si>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</si>
  <si>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</si>
  <si>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</si>
  <si>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</si>
  <si>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</si>
  <si>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</si>
  <si>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</si>
  <si>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</si>
  <si>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</si>
  <si>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</si>
  <si>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</si>
  <si>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</si>
  <si>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</si>
  <si>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</si>
  <si>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</si>
  <si>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</si>
  <si>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</si>
  <si>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</si>
  <si>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</si>
  <si>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</si>
  <si>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</si>
  <si>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</si>
  <si>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</si>
  <si>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</si>
  <si>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</si>
  <si>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</si>
  <si>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</si>
  <si>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</si>
  <si>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</si>
  <si>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</si>
  <si>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</si>
  <si>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</si>
  <si>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</si>
  <si>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</si>
  <si>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</si>
  <si>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</si>
  <si>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</si>
  <si>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</si>
  <si>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</si>
  <si>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</si>
  <si>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</si>
  <si>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</si>
  <si>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</si>
  <si>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</si>
  <si>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</si>
  <si>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</si>
  <si>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</si>
  <si>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</si>
  <si>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</si>
  <si>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</si>
  <si>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</si>
  <si>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</si>
  <si>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</si>
  <si>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</si>
  <si>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</si>
  <si>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</si>
  <si>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</si>
  <si>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</si>
  <si>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</si>
  <si>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</si>
  <si>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</si>
  <si>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</si>
  <si>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</si>
  <si>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</si>
  <si>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</si>
  <si>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</si>
  <si>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</si>
  <si>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</si>
  <si>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</si>
  <si>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</si>
  <si>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</si>
  <si>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</si>
  <si>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</si>
  <si>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</si>
  <si>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</si>
  <si>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</si>
  <si>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</si>
  <si>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</si>
  <si>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</si>
  <si>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</si>
  <si>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</si>
  <si>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</si>
  <si>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</si>
  <si>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</si>
  <si>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</si>
  <si>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</si>
  <si>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</si>
  <si>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</si>
  <si>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</si>
  <si>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</si>
  <si>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</si>
  <si>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</si>
  <si>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</si>
  <si>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</si>
  <si>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</si>
  <si>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</si>
  <si>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</si>
  <si>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</si>
  <si>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</si>
  <si>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</si>
  <si>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</si>
  <si>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</si>
  <si>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</si>
  <si>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</si>
  <si>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</si>
  <si>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</si>
  <si>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</si>
  <si>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</si>
  <si>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</si>
  <si>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</si>
  <si>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</si>
  <si>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</si>
  <si>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</si>
  <si>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</si>
  <si>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</si>
  <si>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</si>
  <si>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</si>
  <si>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</si>
  <si>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</si>
  <si>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</si>
  <si>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</si>
  <si>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</si>
  <si>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</si>
  <si>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</si>
  <si>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</si>
  <si>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</si>
  <si>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</si>
  <si>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</si>
  <si>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</si>
  <si>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</si>
  <si>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</si>
  <si>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</si>
  <si>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</si>
  <si>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</si>
  <si>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</si>
  <si>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</si>
  <si>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</si>
  <si>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</si>
  <si>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</si>
  <si>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</si>
  <si>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</si>
  <si>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</si>
  <si>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</si>
  <si>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AEPTCo Subsidiaries in PJM</t>
  </si>
  <si>
    <t>Real and Personal Property - West Virginia</t>
  </si>
  <si>
    <t>Real and Personal Property - Virginia</t>
  </si>
  <si>
    <t>Real and Personal Property - Tennessee</t>
  </si>
  <si>
    <t>WEST VIRGINIA JURISDICTION</t>
  </si>
  <si>
    <t>____________ JURISDICTION</t>
  </si>
  <si>
    <t>APCo</t>
  </si>
  <si>
    <t>WPCo</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</si>
  <si>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</si>
  <si>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</si>
  <si>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</si>
  <si>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</si>
  <si>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r>
      <t>Note:</t>
    </r>
    <r>
      <rPr>
        <sz val="12"/>
        <rFont val="Arial"/>
        <family val="2"/>
      </rPr>
      <t xml:space="preserve"> AEP WEST VIRGINIA TRANSMISSION COMPANY shall initially use the composite depreciation rate for APCo and WPCo shown above to estimate depreciation expense for transmission projects in Worksheets J and K until a composite depreciation rate based on transmission plant in service and depreciation expenses recorded by AEP WEST VIRGINIA TRANSMISSION COMPANY for its own transmission facilities can be calculated in AEP WEST VIRGINIA TRANSMISSION COMPANY's the first Annual Update including a True-Up TCOS.</t>
    </r>
  </si>
  <si>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</si>
  <si>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</si>
  <si>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</si>
  <si>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</si>
  <si>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</si>
  <si>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</si>
  <si>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</si>
  <si>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</si>
  <si>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</si>
  <si>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</si>
  <si>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</si>
  <si>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t>Privileged and Confidential</t>
  </si>
  <si>
    <t>Subject to FERC Rules 602 and 606</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</si>
  <si>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</si>
  <si>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</si>
  <si>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</si>
  <si>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</si>
  <si>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</si>
  <si>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</si>
  <si>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</si>
  <si>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</si>
  <si>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</si>
  <si>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</si>
  <si>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</si>
  <si>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</si>
  <si>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</si>
  <si>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</si>
  <si>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</si>
  <si>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</si>
  <si>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</si>
  <si>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</si>
  <si>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</si>
  <si>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</si>
  <si>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</si>
  <si>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</si>
  <si>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</si>
  <si>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</si>
  <si>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</si>
  <si>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</si>
  <si>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</si>
  <si>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</si>
  <si>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</si>
  <si>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</si>
  <si>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</si>
  <si>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</si>
  <si>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</si>
  <si>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</si>
  <si>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</si>
  <si>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</si>
  <si>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</si>
  <si>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</si>
  <si>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</si>
  <si>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</si>
  <si>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</si>
  <si>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</si>
  <si>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</si>
  <si>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</si>
  <si>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</si>
  <si>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</si>
  <si>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</si>
  <si>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</si>
  <si>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</si>
  <si>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</si>
  <si>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</si>
  <si>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</si>
  <si>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</si>
  <si>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</si>
  <si>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</si>
  <si>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</si>
  <si>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</si>
  <si>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</si>
  <si>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</si>
  <si>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</si>
  <si>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</si>
  <si>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</si>
  <si>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</si>
  <si>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</si>
  <si>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</si>
  <si>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</si>
  <si>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</si>
  <si>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</si>
  <si>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</si>
  <si>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</si>
  <si>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</si>
  <si>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</si>
  <si>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</si>
  <si>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</si>
  <si>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</si>
  <si>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</si>
  <si>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</si>
  <si>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</si>
  <si>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</si>
  <si>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</si>
  <si>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</si>
  <si>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</si>
  <si>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</si>
  <si>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</si>
  <si>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</si>
  <si>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</si>
  <si>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</si>
  <si>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</si>
  <si>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</si>
  <si>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</si>
  <si>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</si>
  <si>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</si>
  <si>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</si>
  <si>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</si>
  <si>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</si>
  <si>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</si>
  <si>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</si>
  <si>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</si>
  <si>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</si>
  <si>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</si>
  <si>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</si>
  <si>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</si>
  <si>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</si>
  <si>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</si>
  <si>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</si>
  <si>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</si>
  <si>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</si>
  <si>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</si>
  <si>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</si>
  <si>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</si>
  <si>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</si>
  <si>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</si>
  <si>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</si>
  <si>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</si>
  <si>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</si>
  <si>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</si>
  <si>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</si>
  <si>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</si>
  <si>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</si>
  <si>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</si>
  <si>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</si>
  <si>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</si>
  <si>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</si>
  <si>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</si>
  <si>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</si>
  <si>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</si>
  <si>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</si>
  <si>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</si>
  <si>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</si>
  <si>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</si>
  <si>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</si>
  <si>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</si>
  <si>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</si>
  <si>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</si>
  <si>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</si>
  <si>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</si>
  <si>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</si>
  <si>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</si>
  <si>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</si>
  <si>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</si>
  <si>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</si>
  <si>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</si>
  <si>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</si>
  <si>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</si>
  <si>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</si>
  <si>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</si>
  <si>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</si>
  <si>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</si>
  <si>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</si>
  <si>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</si>
  <si>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</si>
  <si>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</si>
  <si>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</si>
  <si>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</si>
  <si>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</si>
  <si>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</si>
  <si>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</si>
  <si>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</si>
  <si>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</si>
  <si>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</si>
  <si>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</si>
  <si>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Transmission Plant Balances in this study are projected or actual average 13 month balances.</t>
  </si>
  <si>
    <t>AEP Appalachian Transmission Company</t>
  </si>
  <si>
    <t xml:space="preserve">Interest Rate on Amount of Refunds or </t>
  </si>
  <si>
    <t>Surcharges (Note 1)</t>
  </si>
  <si>
    <t xml:space="preserve">Tennessee Excise Tax Rate </t>
  </si>
  <si>
    <t>Virginia State Tax Rate</t>
  </si>
  <si>
    <t>Capital Structure Equity Limit (Note Z)</t>
  </si>
  <si>
    <t>Cap Limit</t>
  </si>
  <si>
    <t>Actual</t>
  </si>
  <si>
    <t>Z</t>
  </si>
  <si>
    <t xml:space="preserve">Per the settlement in EL17-13, equity is limited to 55% in of the Company's capital structure.  If the percentage of actual equity exceeds the cap, the excess is included as long term debt in the capital structure.  </t>
  </si>
  <si>
    <t>Common Stock cost rate (ROE) = 10.35%, per the Settlement in FERC Docket No. EL17-13.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balances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</si>
  <si>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Stores Equipment</t>
  </si>
  <si>
    <t>Laboratory Equipment</t>
  </si>
  <si>
    <t>GENERAL PLANT</t>
  </si>
  <si>
    <t>APPALACHAIN TRANSMISSION COMPANY, INC.</t>
  </si>
  <si>
    <t>Worksheet B-3</t>
  </si>
  <si>
    <t>Excess/ Deficient ADIT Worksheet</t>
  </si>
  <si>
    <t>Debit/(Credit)</t>
  </si>
  <si>
    <t xml:space="preserve">I </t>
  </si>
  <si>
    <t xml:space="preserve">J </t>
  </si>
  <si>
    <t>Balance Sheet Entries</t>
  </si>
  <si>
    <t>Tax Expense Entries</t>
  </si>
  <si>
    <t xml:space="preserve">Line No. </t>
  </si>
  <si>
    <t>Account (NOTE A)</t>
  </si>
  <si>
    <t>Description of Account</t>
  </si>
  <si>
    <t>Protected
Unprotected</t>
  </si>
  <si>
    <t>Tax Rate Change Act</t>
  </si>
  <si>
    <t>Excess Balance at Remeasurement</t>
  </si>
  <si>
    <t>Amortization Methodology (NOTE C)</t>
  </si>
  <si>
    <t>Amotization Period</t>
  </si>
  <si>
    <t>Excess ADIT Regulatory  Offset</t>
  </si>
  <si>
    <t>Excess ADIT in Utility Deferrals</t>
  </si>
  <si>
    <t>Balance Sheet Account Reclassifications</t>
  </si>
  <si>
    <t>410/411
Excess Amortization NOTE C</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</si>
  <si>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</si>
  <si>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</si>
  <si>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</si>
  <si>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</si>
  <si>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</si>
  <si>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</si>
  <si>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</si>
  <si>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</si>
  <si>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</si>
  <si>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WS B - 2 Col B/C, ADIT Item 2.11</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</si>
  <si>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</si>
  <si>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</si>
  <si>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</si>
  <si>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</si>
  <si>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</si>
  <si>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</si>
  <si>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</si>
  <si>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</si>
  <si>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</si>
  <si>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</si>
  <si>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WS B - 1 Col N, ADIT Item 5.11</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</si>
  <si>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</si>
  <si>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</si>
  <si>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</si>
  <si>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</si>
  <si>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</si>
  <si>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</si>
  <si>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</si>
  <si>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9.03</t>
  </si>
  <si>
    <t>1g</t>
  </si>
  <si>
    <r>
      <t>283</t>
    </r>
    <r>
      <rPr>
        <sz val="9"/>
        <color indexed="10"/>
        <rFont val="Arial"/>
        <family val="2"/>
      </rPr>
      <t>4</t>
    </r>
    <r>
      <rPr>
        <sz val="9"/>
        <rFont val="Arial"/>
        <family val="2"/>
      </rPr>
      <t>001</t>
    </r>
  </si>
  <si>
    <t>ADFIT - Other FAS 109 Excess</t>
  </si>
  <si>
    <t>WS B - 1 Col B/C, ADIT Item 9.08</t>
  </si>
  <si>
    <t>1h</t>
  </si>
  <si>
    <t>NOTE  D</t>
  </si>
  <si>
    <t>Regulatory Deferral Accounts</t>
  </si>
  <si>
    <t>2a</t>
  </si>
  <si>
    <t xml:space="preserve">Regulatory Asset  </t>
  </si>
  <si>
    <t xml:space="preserve"> Company Records</t>
  </si>
  <si>
    <t>2b</t>
  </si>
  <si>
    <t>Regulatory Liability</t>
  </si>
  <si>
    <t>FERC Form 1 p. 278 Ln. 3 Cols, (b) /(f)</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</si>
  <si>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</si>
  <si>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</si>
  <si>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</si>
  <si>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</si>
  <si>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</si>
  <si>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</si>
  <si>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</si>
  <si>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</si>
  <si>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D:</t>
  </si>
  <si>
    <t xml:space="preserve"> In  the event of future tax rate changes, additional lines will be inserted as required to reflect  any new ADIT or regulatory deferral accounts that may be necessary to track that tax rate change.</t>
  </si>
  <si>
    <t>NOTE E:</t>
  </si>
  <si>
    <t>9302000</t>
  </si>
  <si>
    <t>Misc General Expenses</t>
  </si>
  <si>
    <t>9302003</t>
  </si>
  <si>
    <t>Corporate &amp; Fiscal Expenses</t>
  </si>
  <si>
    <t>9302007</t>
  </si>
  <si>
    <t>Assoc Business Development Exp</t>
  </si>
  <si>
    <t>Electric Storage Equipment (4)</t>
  </si>
  <si>
    <t>Structures &amp; Improvements</t>
  </si>
  <si>
    <t>Station Equipment</t>
  </si>
  <si>
    <t xml:space="preserve">Towers &amp; Fixtures  </t>
  </si>
  <si>
    <t>Poles &amp; Fixtures</t>
  </si>
  <si>
    <t>OH Conductor &amp; Devices</t>
  </si>
  <si>
    <t>Underground Conduit</t>
  </si>
  <si>
    <t>Underground Conductor</t>
  </si>
  <si>
    <t>Office Furniture &amp; Equipment</t>
  </si>
  <si>
    <t>Transportation Equipment</t>
  </si>
  <si>
    <t>Tools Shop &amp; Garage Equipment</t>
  </si>
  <si>
    <t>Communication Equipment</t>
  </si>
  <si>
    <t>Miscellaneous Equipment</t>
  </si>
  <si>
    <t>WS B - 1 Col N, ADIT Item 5.12</t>
  </si>
  <si>
    <t>WS B - 1 Col B/C, ADIT Item 5.13</t>
  </si>
  <si>
    <t>12/31/2022 Ending Balance</t>
  </si>
  <si>
    <t>1/1/2022 Beginning  Balances</t>
  </si>
  <si>
    <t>For Year Ended December 31, 2023</t>
  </si>
  <si>
    <t>9302004</t>
  </si>
  <si>
    <t>1650001</t>
  </si>
  <si>
    <t>Prepaid Insurance</t>
  </si>
  <si>
    <t>Prepaid Insurance - EIS</t>
  </si>
  <si>
    <t>1650024</t>
  </si>
  <si>
    <t>Research, Develop&amp;Demonstr Exp</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</si>
  <si>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</si>
  <si>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</si>
  <si>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</si>
  <si>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</si>
  <si>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</si>
  <si>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</si>
  <si>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</si>
  <si>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</si>
  <si>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</si>
  <si>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</si>
  <si>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</si>
  <si>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</si>
  <si>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9301010</t>
  </si>
  <si>
    <t>Publicity</t>
  </si>
  <si>
    <t>9301012</t>
  </si>
  <si>
    <t>Public Opinion Surveys</t>
  </si>
  <si>
    <t>9301014</t>
  </si>
  <si>
    <t>Video Communications</t>
  </si>
  <si>
    <t>9301015</t>
  </si>
  <si>
    <t>Other Corporate Comm Exp</t>
  </si>
  <si>
    <t>AEP EAST TRANSMISSION COMPANIES</t>
  </si>
  <si>
    <t>Docket ER20-1888-000</t>
  </si>
  <si>
    <t>AEP APPALACHIAN TRANSMISSION COMPANY</t>
  </si>
  <si>
    <t>Compliance Filing</t>
  </si>
  <si>
    <t>ATTACHMENT H-20B</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</si>
  <si>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</si>
  <si>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</si>
  <si>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</si>
  <si>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</si>
  <si>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</si>
  <si>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</si>
  <si>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</si>
  <si>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</si>
  <si>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</si>
  <si>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</si>
  <si>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</si>
  <si>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</si>
  <si>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</si>
  <si>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</si>
  <si>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</si>
  <si>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</si>
  <si>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</si>
  <si>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</si>
  <si>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</si>
  <si>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</si>
  <si>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</si>
  <si>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</si>
  <si>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</si>
  <si>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</si>
  <si>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</si>
  <si>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</si>
  <si>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</si>
  <si>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</si>
  <si>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</si>
  <si>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</si>
  <si>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</si>
  <si>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</si>
  <si>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</si>
  <si>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</si>
  <si>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</si>
  <si>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</si>
  <si>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EFFECTIVE AS OF JANUARY 1, 2023</t>
  </si>
  <si>
    <r>
      <t xml:space="preserve">Note: </t>
    </r>
    <r>
      <rPr>
        <sz val="12"/>
        <rFont val="Arial MT"/>
      </rPr>
      <t xml:space="preserve">APCo Transco Depreciation Rates are based on the APCO VA Depr Study to be filed in Case No. PUR-2022-00002. </t>
    </r>
  </si>
  <si>
    <t>Transmission Accumulated Depreciation net of GSU, and Other Excludable Balances (Ln 28d - 42c - 42e)</t>
  </si>
  <si>
    <t>An over or under collection will be recovered prorata over 2023, held for 2024 and returned prorate over 2025</t>
  </si>
  <si>
    <t>GP=</t>
  </si>
  <si>
    <t>NP=</t>
  </si>
  <si>
    <t>2024 Forecasted Revenue Requirement For Year 2024</t>
  </si>
  <si>
    <t>2024 Collections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</si>
</sst>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_);\(0\)"/>
    <numFmt numFmtId="194" formatCode="0.0"/>
    <numFmt numFmtId="195" formatCode="&quot;$&quot;#,##0.0000"/>
    <numFmt numFmtId="196" formatCode="_(* #,##0.00_);_(* \(#,##0.00\);_(* &quot;-&quot;_);_(@_)"/>
    <numFmt numFmtId="197" formatCode="[$-409]mmmm\-yy;@"/>
    <numFmt numFmtId="198" formatCode="mm/dd/yy"/>
  </numFmts>
  <fonts count="158">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b/>
      <sz val="18"/>
      <name val="Arial Narrow"/>
      <family val="2"/>
    </font>
    <font>
      <sz val="9"/>
      <color indexed="10"/>
      <name val="Arial"/>
      <family val="2"/>
    </font>
    <font>
      <i/>
      <sz val="9"/>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1607409894101"/>
        <bgColor indexed="64"/>
      </patternFill>
    </fill>
    <fill>
      <patternFill patternType="darkUp">
        <bgColor theme="0" tint="-0.14990691854609822"/>
      </patternFill>
    </fill>
  </fills>
  <borders count="4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2">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49" fillId="0" borderId="0" applyFont="0" applyFill="0" applyBorder="0" applyAlignment="0" applyProtection="0"/>
    <xf numFmtId="43" fontId="137" fillId="0" borderId="0" applyFont="0" applyFill="0" applyBorder="0" applyAlignment="0" applyProtection="0"/>
    <xf numFmtId="43" fontId="149" fillId="0" borderId="0" applyFont="0" applyFill="0" applyBorder="0" applyAlignment="0" applyProtection="0"/>
    <xf numFmtId="43" fontId="2" fillId="0" borderId="0" applyFont="0" applyFill="0" applyBorder="0" applyAlignment="0" applyProtection="0"/>
    <xf numFmtId="43" fontId="129"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49" fillId="0" borderId="0" applyFont="0" applyFill="0" applyBorder="0" applyAlignment="0" applyProtection="0"/>
    <xf numFmtId="44" fontId="12" fillId="0" borderId="0" applyFont="0" applyFill="0" applyBorder="0" applyAlignment="0" applyProtection="0"/>
    <xf numFmtId="44" fontId="149"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8" fillId="0" borderId="0"/>
    <xf numFmtId="3" fontId="12" fillId="0" borderId="0"/>
    <xf numFmtId="3" fontId="12" fillId="0" borderId="0"/>
    <xf numFmtId="3" fontId="12" fillId="0" borderId="0"/>
    <xf numFmtId="0" fontId="128" fillId="0" borderId="0"/>
    <xf numFmtId="0" fontId="12" fillId="0" borderId="0"/>
    <xf numFmtId="3" fontId="12" fillId="0" borderId="0"/>
    <xf numFmtId="3" fontId="12" fillId="0" borderId="0"/>
    <xf numFmtId="3" fontId="12" fillId="0" borderId="0"/>
    <xf numFmtId="3" fontId="12" fillId="0" borderId="0"/>
    <xf numFmtId="0" fontId="149" fillId="0" borderId="0"/>
    <xf numFmtId="3" fontId="12" fillId="0" borderId="0"/>
    <xf numFmtId="3" fontId="12" fillId="0" borderId="0"/>
    <xf numFmtId="3" fontId="12" fillId="0" borderId="0"/>
    <xf numFmtId="3"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0" fontId="150" fillId="0" borderId="0"/>
    <xf numFmtId="0" fontId="12" fillId="0" borderId="0"/>
    <xf numFmtId="0" fontId="12" fillId="0" borderId="0"/>
    <xf numFmtId="0" fontId="150" fillId="0" borderId="0"/>
    <xf numFmtId="0"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3" fontId="12" fillId="0" borderId="0"/>
    <xf numFmtId="0" fontId="12" fillId="0" borderId="0"/>
    <xf numFmtId="0" fontId="149"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3" fontId="12" fillId="0" borderId="0"/>
    <xf numFmtId="3" fontId="12" fillId="0" borderId="0"/>
    <xf numFmtId="0" fontId="128"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9" fillId="0" borderId="0"/>
    <xf numFmtId="0" fontId="128" fillId="0" borderId="0"/>
    <xf numFmtId="0" fontId="12" fillId="0" borderId="0"/>
    <xf numFmtId="0" fontId="149" fillId="0" borderId="0"/>
    <xf numFmtId="0" fontId="128" fillId="0" borderId="0"/>
    <xf numFmtId="0" fontId="12" fillId="0" borderId="0"/>
    <xf numFmtId="0" fontId="149" fillId="0" borderId="0"/>
    <xf numFmtId="0" fontId="128" fillId="0" borderId="0"/>
    <xf numFmtId="0" fontId="12" fillId="0" borderId="0"/>
    <xf numFmtId="0" fontId="149" fillId="0" borderId="0"/>
    <xf numFmtId="0" fontId="3" fillId="0" borderId="0" applyProtection="0"/>
    <xf numFmtId="0" fontId="2" fillId="0" borderId="0"/>
    <xf numFmtId="0" fontId="12" fillId="0" borderId="0"/>
    <xf numFmtId="0" fontId="12" fillId="0" borderId="0"/>
    <xf numFmtId="0" fontId="12" fillId="0" borderId="0"/>
    <xf numFmtId="172" fontId="3" fillId="0" borderId="0" applyProtection="0"/>
    <xf numFmtId="0" fontId="2" fillId="0" borderId="0"/>
    <xf numFmtId="172" fontId="3" fillId="0" borderId="0" applyProtection="0"/>
    <xf numFmtId="172" fontId="3" fillId="0" borderId="0" applyProtection="0"/>
    <xf numFmtId="0" fontId="70" fillId="0" borderId="0"/>
    <xf numFmtId="0" fontId="12" fillId="0" borderId="0"/>
    <xf numFmtId="0" fontId="3" fillId="0" borderId="0"/>
    <xf numFmtId="0" fontId="12" fillId="0" borderId="0"/>
    <xf numFmtId="0" fontId="2" fillId="0" borderId="0"/>
    <xf numFmtId="0" fontId="129" fillId="0" borderId="0"/>
    <xf numFmtId="0" fontId="110"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49" fillId="0" borderId="0" applyFont="0" applyFill="0" applyBorder="0" applyAlignment="0" applyProtection="0"/>
    <xf numFmtId="9" fontId="12" fillId="0" borderId="0" applyFont="0" applyFill="0" applyBorder="0" applyAlignment="0" applyProtection="0"/>
    <xf numFmtId="9" fontId="149"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cellStyleXfs>
  <cellXfs count="1226">
    <xf numFmtId="0" fontId="0" fillId="0" borderId="0" xfId="0"/>
    <xf numFmtId="0" fontId="0" fillId="0" borderId="0" xfId="0" applyAlignment="1">
      <alignment horizontal="center"/>
    </xf>
    <xf numFmtId="3" fontId="5" fillId="0" borderId="0" xfId="0" applyNumberFormat="1" applyFont="1" applyAlignment="1">
      <alignment horizontal="center"/>
    </xf>
    <xf numFmtId="0" fontId="12" fillId="0" borderId="0" xfId="0" applyFont="1"/>
    <xf numFmtId="0" fontId="9" fillId="0" borderId="0" xfId="248" applyFont="1" applyAlignment="1">
      <alignment horizontal="center"/>
    </xf>
    <xf numFmtId="0" fontId="15" fillId="0" borderId="0" xfId="248" applyFont="1"/>
    <xf numFmtId="0" fontId="4" fillId="0" borderId="0" xfId="0" applyFont="1"/>
    <xf numFmtId="0" fontId="12" fillId="0" borderId="0" xfId="248" applyFont="1"/>
    <xf numFmtId="0" fontId="15" fillId="0" borderId="0" xfId="248" applyFont="1" applyAlignment="1">
      <alignment horizontal="left"/>
    </xf>
    <xf numFmtId="3" fontId="12" fillId="0" borderId="0" xfId="0" applyNumberFormat="1" applyFont="1"/>
    <xf numFmtId="0" fontId="5" fillId="0" borderId="0" xfId="248" applyFont="1" applyAlignment="1">
      <alignment horizontal="right"/>
    </xf>
    <xf numFmtId="40" fontId="12" fillId="0" borderId="0" xfId="0" applyNumberFormat="1" applyFont="1"/>
    <xf numFmtId="0" fontId="5" fillId="0" borderId="0" xfId="248" applyFont="1"/>
    <xf numFmtId="0" fontId="9" fillId="0" borderId="0" xfId="248" applyFont="1" applyAlignment="1">
      <alignment horizontal="left"/>
    </xf>
    <xf numFmtId="0" fontId="12" fillId="0" borderId="0" xfId="248" applyFont="1" applyAlignment="1">
      <alignment horizontal="left"/>
    </xf>
    <xf numFmtId="0" fontId="6" fillId="0" borderId="0" xfId="248" applyFont="1" applyAlignment="1">
      <alignment horizontal="center"/>
    </xf>
    <xf numFmtId="0" fontId="26" fillId="0" borderId="0" xfId="0" applyFont="1"/>
    <xf numFmtId="0" fontId="5" fillId="0" borderId="0" xfId="0" applyFont="1" applyAlignment="1">
      <alignment horizontal="center"/>
    </xf>
    <xf numFmtId="3" fontId="19" fillId="0" borderId="0" xfId="0" applyNumberFormat="1" applyFont="1"/>
    <xf numFmtId="41" fontId="27" fillId="0" borderId="0" xfId="248" applyNumberFormat="1" applyFont="1"/>
    <xf numFmtId="0" fontId="28" fillId="0" borderId="0" xfId="248" applyFont="1" applyAlignment="1">
      <alignment horizontal="left"/>
    </xf>
    <xf numFmtId="0" fontId="26" fillId="0" borderId="0" xfId="248" applyFont="1"/>
    <xf numFmtId="41" fontId="26" fillId="0" borderId="0" xfId="248" applyNumberFormat="1" applyFont="1"/>
    <xf numFmtId="41" fontId="26" fillId="0" borderId="0" xfId="248" applyNumberFormat="1" applyFont="1" applyAlignment="1">
      <alignment vertical="top"/>
    </xf>
    <xf numFmtId="181" fontId="26" fillId="0" borderId="0" xfId="248" applyNumberFormat="1" applyFont="1"/>
    <xf numFmtId="0" fontId="26" fillId="0" borderId="0" xfId="248" applyFont="1" applyAlignment="1">
      <alignment horizontal="left"/>
    </xf>
    <xf numFmtId="0" fontId="29" fillId="0" borderId="0" xfId="248" applyFont="1"/>
    <xf numFmtId="0" fontId="26" fillId="0" borderId="0" xfId="248" applyFont="1" applyAlignment="1">
      <alignment horizontal="center"/>
    </xf>
    <xf numFmtId="0" fontId="10" fillId="0" borderId="0" xfId="248" applyFont="1" applyAlignment="1">
      <alignment horizontal="center"/>
    </xf>
    <xf numFmtId="173" fontId="26" fillId="0" borderId="0" xfId="248" applyNumberFormat="1" applyFont="1"/>
    <xf numFmtId="173" fontId="26" fillId="0" borderId="0" xfId="248" applyNumberFormat="1" applyFont="1" applyAlignment="1">
      <alignment vertical="top"/>
    </xf>
    <xf numFmtId="41" fontId="26" fillId="0" borderId="13" xfId="248" applyNumberFormat="1" applyFont="1" applyBorder="1"/>
    <xf numFmtId="173" fontId="6" fillId="0" borderId="0" xfId="86" applyNumberFormat="1" applyFont="1" applyFill="1" applyAlignment="1">
      <alignment horizontal="center"/>
    </xf>
    <xf numFmtId="0" fontId="5" fillId="0" borderId="0" xfId="248" applyFont="1" applyAlignment="1">
      <alignment horizontal="center"/>
    </xf>
    <xf numFmtId="0" fontId="30" fillId="0" borderId="0" xfId="248" applyFont="1"/>
    <xf numFmtId="41" fontId="5" fillId="0" borderId="13" xfId="248" applyNumberFormat="1" applyFont="1" applyBorder="1"/>
    <xf numFmtId="38" fontId="12" fillId="0" borderId="0" xfId="0" applyNumberFormat="1" applyFont="1"/>
    <xf numFmtId="40" fontId="26" fillId="0" borderId="0" xfId="248" applyNumberFormat="1" applyFont="1"/>
    <xf numFmtId="43" fontId="5" fillId="0" borderId="0" xfId="248" applyNumberFormat="1" applyFont="1"/>
    <xf numFmtId="3" fontId="5" fillId="0" borderId="0" xfId="0" applyNumberFormat="1" applyFont="1"/>
    <xf numFmtId="41" fontId="27" fillId="25" borderId="0" xfId="248" applyNumberFormat="1" applyFont="1" applyFill="1"/>
    <xf numFmtId="0" fontId="32" fillId="0" borderId="0" xfId="0" applyFont="1"/>
    <xf numFmtId="0" fontId="19" fillId="0" borderId="0" xfId="248" applyFont="1"/>
    <xf numFmtId="0" fontId="12" fillId="0" borderId="0" xfId="248" applyFont="1" applyAlignment="1">
      <alignment horizontal="center"/>
    </xf>
    <xf numFmtId="0" fontId="5" fillId="0" borderId="0" xfId="207" applyFont="1" applyAlignment="1">
      <alignment horizontal="center"/>
    </xf>
    <xf numFmtId="49" fontId="5" fillId="0" borderId="0" xfId="248" applyNumberFormat="1" applyFont="1" applyAlignment="1">
      <alignment horizontal="center"/>
    </xf>
    <xf numFmtId="3" fontId="10" fillId="0" borderId="0" xfId="0" applyNumberFormat="1" applyFont="1" applyAlignment="1">
      <alignment horizontal="center"/>
    </xf>
    <xf numFmtId="0" fontId="12" fillId="0" borderId="0" xfId="0" applyFont="1" applyAlignment="1">
      <alignment horizontal="center"/>
    </xf>
    <xf numFmtId="0" fontId="71" fillId="0" borderId="0" xfId="256" applyFont="1"/>
    <xf numFmtId="185" fontId="18" fillId="0" borderId="0" xfId="256" applyNumberFormat="1" applyFont="1" applyAlignment="1">
      <alignment horizontal="center"/>
    </xf>
    <xf numFmtId="0" fontId="12" fillId="0" borderId="0" xfId="256" applyFont="1"/>
    <xf numFmtId="0" fontId="18" fillId="0" borderId="0" xfId="256" applyFont="1"/>
    <xf numFmtId="0" fontId="18" fillId="0" borderId="0" xfId="256" applyFont="1" applyAlignment="1">
      <alignment horizontal="center"/>
    </xf>
    <xf numFmtId="0" fontId="73" fillId="0" borderId="0" xfId="256" applyFont="1"/>
    <xf numFmtId="0" fontId="74" fillId="0" borderId="0" xfId="256" applyFont="1"/>
    <xf numFmtId="185" fontId="12" fillId="0" borderId="0" xfId="256" applyNumberFormat="1" applyFont="1"/>
    <xf numFmtId="0" fontId="75" fillId="0" borderId="0" xfId="253" applyFont="1" applyAlignment="1">
      <alignment horizontal="center"/>
    </xf>
    <xf numFmtId="0" fontId="75" fillId="0" borderId="0" xfId="253" applyFont="1" applyAlignment="1">
      <alignment horizontal="left" indent="2"/>
    </xf>
    <xf numFmtId="39" fontId="75" fillId="0" borderId="0" xfId="253" applyNumberFormat="1" applyFont="1"/>
    <xf numFmtId="0" fontId="12" fillId="0" borderId="0" xfId="256" applyFont="1" applyAlignment="1">
      <alignment horizontal="center"/>
    </xf>
    <xf numFmtId="173" fontId="71" fillId="0" borderId="14" xfId="86" applyNumberFormat="1" applyFont="1" applyBorder="1"/>
    <xf numFmtId="0" fontId="71" fillId="0" borderId="0" xfId="0" applyFont="1"/>
    <xf numFmtId="173" fontId="0" fillId="0" borderId="0" xfId="0" applyNumberFormat="1"/>
    <xf numFmtId="0" fontId="80" fillId="0" borderId="0" xfId="248" applyFont="1" applyAlignment="1">
      <alignment horizontal="left"/>
    </xf>
    <xf numFmtId="0" fontId="4" fillId="0" borderId="0" xfId="0" applyFont="1" applyAlignment="1">
      <alignment horizontal="center"/>
    </xf>
    <xf numFmtId="0" fontId="4" fillId="0" borderId="0" xfId="207" applyFont="1" applyAlignment="1">
      <alignment horizontal="center"/>
    </xf>
    <xf numFmtId="173" fontId="71" fillId="0" borderId="0" xfId="256" applyNumberFormat="1" applyFont="1"/>
    <xf numFmtId="3" fontId="4" fillId="0" borderId="0" xfId="0" applyNumberFormat="1" applyFont="1" applyAlignment="1">
      <alignment horizontal="center"/>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2" fillId="0" borderId="0" xfId="248" applyAlignment="1">
      <alignment horizontal="left"/>
    </xf>
    <xf numFmtId="0" fontId="2" fillId="0" borderId="0" xfId="248"/>
    <xf numFmtId="0" fontId="14" fillId="0" borderId="0" xfId="248" applyFont="1"/>
    <xf numFmtId="0" fontId="83" fillId="0" borderId="0" xfId="248" applyFont="1"/>
    <xf numFmtId="9" fontId="10" fillId="0" borderId="0" xfId="248" quotePrefix="1" applyNumberFormat="1" applyFont="1" applyAlignment="1">
      <alignment horizontal="center"/>
    </xf>
    <xf numFmtId="0" fontId="4" fillId="0" borderId="0" xfId="256" applyFont="1" applyAlignment="1">
      <alignment horizontal="center"/>
    </xf>
    <xf numFmtId="0" fontId="4" fillId="0" borderId="0" xfId="256" applyFont="1"/>
    <xf numFmtId="185" fontId="4" fillId="0" borderId="0" xfId="256" applyNumberFormat="1" applyFont="1" applyAlignment="1">
      <alignment horizontal="center"/>
    </xf>
    <xf numFmtId="0" fontId="4" fillId="0" borderId="11" xfId="256" applyFont="1" applyBorder="1" applyAlignment="1">
      <alignment horizontal="center"/>
    </xf>
    <xf numFmtId="185" fontId="4" fillId="0" borderId="11" xfId="256" applyNumberFormat="1" applyFont="1" applyBorder="1" applyAlignment="1">
      <alignment horizontal="center"/>
    </xf>
    <xf numFmtId="174" fontId="0" fillId="0" borderId="0" xfId="115" applyNumberFormat="1" applyFont="1" applyAlignment="1">
      <alignment horizontal="center"/>
    </xf>
    <xf numFmtId="0" fontId="9" fillId="0" borderId="0" xfId="0" applyFont="1" applyAlignment="1">
      <alignment horizontal="left"/>
    </xf>
    <xf numFmtId="6" fontId="9" fillId="0" borderId="0" xfId="0" applyNumberFormat="1" applyFont="1" applyAlignment="1">
      <alignment horizontal="right"/>
    </xf>
    <xf numFmtId="164" fontId="0" fillId="0" borderId="0" xfId="267" applyNumberFormat="1" applyFont="1"/>
    <xf numFmtId="173" fontId="89" fillId="0" borderId="0" xfId="256" applyNumberFormat="1" applyFont="1"/>
    <xf numFmtId="0" fontId="23" fillId="0" borderId="0" xfId="248" applyFont="1" applyAlignment="1">
      <alignment horizontal="center"/>
    </xf>
    <xf numFmtId="0" fontId="92" fillId="0" borderId="0" xfId="248" applyFont="1"/>
    <xf numFmtId="173" fontId="0" fillId="0" borderId="14" xfId="0" applyNumberFormat="1" applyBorder="1"/>
    <xf numFmtId="9" fontId="0" fillId="0" borderId="0" xfId="267" applyFont="1"/>
    <xf numFmtId="0" fontId="94" fillId="0" borderId="0" xfId="0" applyFont="1" applyAlignment="1">
      <alignment horizontal="center" wrapText="1"/>
    </xf>
    <xf numFmtId="0" fontId="18" fillId="0" borderId="0" xfId="253" applyFont="1" applyAlignment="1">
      <alignment horizontal="center"/>
    </xf>
    <xf numFmtId="190" fontId="98" fillId="0" borderId="0" xfId="207" applyNumberFormat="1" applyFont="1" applyAlignment="1">
      <alignment horizontal="center"/>
    </xf>
    <xf numFmtId="38" fontId="0" fillId="0" borderId="0" xfId="0" applyNumberFormat="1"/>
    <xf numFmtId="0" fontId="2" fillId="0" borderId="0" xfId="0" applyFont="1"/>
    <xf numFmtId="0" fontId="4" fillId="0" borderId="11" xfId="256" applyFont="1" applyBorder="1"/>
    <xf numFmtId="173" fontId="78" fillId="0" borderId="0" xfId="256" applyNumberFormat="1" applyFont="1"/>
    <xf numFmtId="0" fontId="71" fillId="0" borderId="0" xfId="256" applyFont="1" applyAlignment="1">
      <alignment horizontal="center"/>
    </xf>
    <xf numFmtId="3" fontId="78" fillId="0" borderId="0" xfId="256" applyNumberFormat="1" applyFont="1"/>
    <xf numFmtId="38" fontId="22" fillId="0" borderId="0" xfId="0" applyNumberFormat="1" applyFont="1"/>
    <xf numFmtId="176" fontId="3" fillId="0" borderId="15" xfId="258" applyNumberFormat="1" applyBorder="1"/>
    <xf numFmtId="176" fontId="3" fillId="0" borderId="0" xfId="258" applyNumberFormat="1"/>
    <xf numFmtId="49" fontId="5" fillId="0" borderId="0" xfId="86" applyNumberFormat="1" applyFont="1" applyAlignment="1">
      <alignment horizontal="center"/>
    </xf>
    <xf numFmtId="0" fontId="99" fillId="0" borderId="0" xfId="256" applyFont="1"/>
    <xf numFmtId="0" fontId="119" fillId="0" borderId="0" xfId="256" applyFont="1"/>
    <xf numFmtId="0" fontId="32" fillId="0" borderId="0" xfId="248" applyFont="1"/>
    <xf numFmtId="0" fontId="107" fillId="0" borderId="0" xfId="248" applyFont="1" applyAlignment="1">
      <alignment horizontal="center"/>
    </xf>
    <xf numFmtId="0" fontId="94" fillId="0" borderId="0" xfId="0" applyFont="1" applyAlignment="1">
      <alignment horizontal="center"/>
    </xf>
    <xf numFmtId="10" fontId="3" fillId="0" borderId="0" xfId="258" applyNumberFormat="1"/>
    <xf numFmtId="41" fontId="19" fillId="30" borderId="6" xfId="255" applyNumberFormat="1" applyFont="1" applyFill="1" applyBorder="1" applyProtection="1">
      <protection locked="0"/>
    </xf>
    <xf numFmtId="3" fontId="19" fillId="30" borderId="0" xfId="255" applyNumberFormat="1" applyFont="1" applyFill="1" applyProtection="1">
      <protection locked="0"/>
    </xf>
    <xf numFmtId="41" fontId="5" fillId="30" borderId="0" xfId="255" applyNumberFormat="1" applyFont="1" applyFill="1" applyProtection="1">
      <protection locked="0"/>
    </xf>
    <xf numFmtId="173" fontId="19" fillId="30" borderId="0" xfId="86" applyNumberFormat="1" applyFont="1" applyFill="1" applyAlignment="1" applyProtection="1">
      <alignment horizontal="right"/>
      <protection locked="0"/>
    </xf>
    <xf numFmtId="41" fontId="19" fillId="30" borderId="0" xfId="255" applyNumberFormat="1" applyFont="1" applyFill="1" applyProtection="1">
      <protection locked="0"/>
    </xf>
    <xf numFmtId="173" fontId="8" fillId="30" borderId="0" xfId="86" applyNumberFormat="1" applyFont="1" applyFill="1" applyProtection="1">
      <protection locked="0"/>
    </xf>
    <xf numFmtId="173" fontId="8" fillId="30" borderId="11" xfId="86" applyNumberFormat="1" applyFont="1" applyFill="1" applyBorder="1" applyAlignment="1" applyProtection="1">
      <protection locked="0"/>
    </xf>
    <xf numFmtId="10" fontId="19" fillId="30" borderId="0" xfId="255" applyNumberFormat="1" applyFont="1" applyFill="1" applyProtection="1">
      <protection locked="0"/>
    </xf>
    <xf numFmtId="41" fontId="19" fillId="30" borderId="0" xfId="255" applyNumberFormat="1" applyFont="1" applyFill="1" applyAlignment="1" applyProtection="1">
      <alignment vertical="center"/>
      <protection locked="0"/>
    </xf>
    <xf numFmtId="0" fontId="6" fillId="0" borderId="0" xfId="0" applyFont="1"/>
    <xf numFmtId="10" fontId="19" fillId="31" borderId="0" xfId="267" applyNumberFormat="1" applyFont="1" applyFill="1" applyAlignment="1" applyProtection="1">
      <protection locked="0"/>
    </xf>
    <xf numFmtId="173" fontId="78" fillId="32" borderId="0" xfId="256" applyNumberFormat="1" applyFont="1" applyFill="1"/>
    <xf numFmtId="194" fontId="3" fillId="0" borderId="0" xfId="258" applyNumberFormat="1"/>
    <xf numFmtId="172" fontId="3" fillId="0" borderId="0" xfId="255" applyProtection="1"/>
    <xf numFmtId="172" fontId="5" fillId="0" borderId="0" xfId="255" applyFont="1" applyProtection="1"/>
    <xf numFmtId="0" fontId="6" fillId="0" borderId="0" xfId="255" applyNumberFormat="1" applyFont="1" applyAlignment="1" applyProtection="1">
      <alignment horizontal="left"/>
    </xf>
    <xf numFmtId="14" fontId="6" fillId="0" borderId="0" xfId="255" applyNumberFormat="1" applyFont="1" applyProtection="1"/>
    <xf numFmtId="172" fontId="6" fillId="0" borderId="0" xfId="255" applyFont="1" applyProtection="1"/>
    <xf numFmtId="0" fontId="19" fillId="32" borderId="0" xfId="86" applyNumberFormat="1" applyFont="1" applyFill="1" applyAlignment="1" applyProtection="1"/>
    <xf numFmtId="0" fontId="5" fillId="0" borderId="0" xfId="255" applyNumberFormat="1" applyFont="1" applyProtection="1"/>
    <xf numFmtId="0" fontId="5" fillId="0" borderId="0" xfId="0" applyFont="1"/>
    <xf numFmtId="0" fontId="5" fillId="0" borderId="0" xfId="255" applyNumberFormat="1" applyFont="1" applyAlignment="1" applyProtection="1">
      <alignment horizontal="right"/>
    </xf>
    <xf numFmtId="0" fontId="19" fillId="0" borderId="0" xfId="86" applyNumberFormat="1" applyFont="1" applyFill="1" applyAlignment="1" applyProtection="1"/>
    <xf numFmtId="3" fontId="5" fillId="0" borderId="0" xfId="255" applyNumberFormat="1" applyFont="1" applyProtection="1"/>
    <xf numFmtId="0" fontId="3" fillId="0" borderId="0" xfId="255" applyNumberFormat="1" applyAlignment="1" applyProtection="1">
      <alignment horizontal="center"/>
    </xf>
    <xf numFmtId="0" fontId="5" fillId="0" borderId="0" xfId="255" applyNumberFormat="1" applyFont="1" applyAlignment="1" applyProtection="1">
      <alignment horizontal="center"/>
    </xf>
    <xf numFmtId="49" fontId="5" fillId="0" borderId="0" xfId="255" applyNumberFormat="1" applyFont="1" applyAlignment="1" applyProtection="1">
      <alignment horizontal="center"/>
    </xf>
    <xf numFmtId="3" fontId="21" fillId="0" borderId="0" xfId="0" applyNumberFormat="1" applyFont="1" applyAlignment="1">
      <alignment horizontal="center"/>
    </xf>
    <xf numFmtId="49" fontId="5" fillId="0" borderId="0" xfId="255" applyNumberFormat="1" applyFont="1" applyProtection="1"/>
    <xf numFmtId="39" fontId="5" fillId="0" borderId="0" xfId="86" applyNumberFormat="1" applyFont="1" applyAlignment="1" applyProtection="1">
      <alignment horizontal="center"/>
    </xf>
    <xf numFmtId="0" fontId="3" fillId="0" borderId="6" xfId="255" applyNumberFormat="1" applyBorder="1" applyAlignment="1" applyProtection="1">
      <alignment horizontal="center"/>
    </xf>
    <xf numFmtId="0" fontId="5" fillId="0" borderId="6" xfId="255" applyNumberFormat="1" applyFont="1" applyBorder="1" applyAlignment="1" applyProtection="1">
      <alignment horizontal="center"/>
    </xf>
    <xf numFmtId="0" fontId="5" fillId="0" borderId="0" xfId="255" applyNumberFormat="1" applyFont="1" applyAlignment="1" applyProtection="1">
      <alignment horizontal="left"/>
    </xf>
    <xf numFmtId="170" fontId="5" fillId="0" borderId="0" xfId="255" applyNumberFormat="1" applyFont="1" applyProtection="1"/>
    <xf numFmtId="3" fontId="5" fillId="0" borderId="0" xfId="255" applyNumberFormat="1" applyFont="1" applyAlignment="1" applyProtection="1">
      <alignment horizontal="left"/>
    </xf>
    <xf numFmtId="0" fontId="5" fillId="0" borderId="6" xfId="255" applyNumberFormat="1" applyFont="1" applyBorder="1" applyAlignment="1" applyProtection="1">
      <alignment horizontal="centerContinuous"/>
    </xf>
    <xf numFmtId="41" fontId="5" fillId="0" borderId="0" xfId="255" applyNumberFormat="1" applyFont="1" applyProtection="1"/>
    <xf numFmtId="3" fontId="5" fillId="0" borderId="0" xfId="255" applyNumberFormat="1" applyFont="1" applyAlignment="1" applyProtection="1">
      <alignment horizontal="center"/>
    </xf>
    <xf numFmtId="165" fontId="5" fillId="0" borderId="0" xfId="255" applyNumberFormat="1" applyFont="1" applyAlignment="1" applyProtection="1">
      <alignment horizontal="right"/>
    </xf>
    <xf numFmtId="42" fontId="5" fillId="0" borderId="0" xfId="255" applyNumberFormat="1" applyFont="1" applyProtection="1"/>
    <xf numFmtId="0" fontId="5" fillId="0" borderId="0" xfId="0" applyFont="1" applyAlignment="1">
      <alignment wrapText="1"/>
    </xf>
    <xf numFmtId="174" fontId="5" fillId="0" borderId="14" xfId="255" applyNumberFormat="1" applyFont="1" applyBorder="1" applyProtection="1"/>
    <xf numFmtId="172" fontId="77" fillId="0" borderId="0" xfId="255" applyFont="1" applyAlignment="1" applyProtection="1">
      <alignment horizontal="center" wrapText="1"/>
    </xf>
    <xf numFmtId="43" fontId="5" fillId="0" borderId="0" xfId="86" applyFont="1" applyProtection="1"/>
    <xf numFmtId="171" fontId="5" fillId="0" borderId="0" xfId="255" applyNumberFormat="1" applyFont="1" applyProtection="1"/>
    <xf numFmtId="10" fontId="5" fillId="0" borderId="0" xfId="255" applyNumberFormat="1" applyFont="1" applyProtection="1"/>
    <xf numFmtId="10" fontId="5" fillId="0" borderId="0" xfId="267" applyNumberFormat="1" applyFont="1" applyFill="1" applyAlignment="1" applyProtection="1"/>
    <xf numFmtId="186" fontId="5" fillId="0" borderId="0" xfId="255" applyNumberFormat="1" applyFont="1" applyProtection="1"/>
    <xf numFmtId="41" fontId="5" fillId="0" borderId="0" xfId="255" applyNumberFormat="1" applyFont="1" applyAlignment="1" applyProtection="1">
      <alignment horizontal="center"/>
    </xf>
    <xf numFmtId="41" fontId="5" fillId="0" borderId="14" xfId="255" applyNumberFormat="1" applyFont="1" applyBorder="1" applyAlignment="1" applyProtection="1">
      <alignment horizontal="center"/>
    </xf>
    <xf numFmtId="41" fontId="5" fillId="0" borderId="0" xfId="255" applyNumberFormat="1" applyFont="1" applyAlignment="1" applyProtection="1">
      <alignment horizontal="right"/>
    </xf>
    <xf numFmtId="42" fontId="5" fillId="0" borderId="0" xfId="267" applyNumberFormat="1" applyFont="1" applyAlignment="1" applyProtection="1"/>
    <xf numFmtId="43" fontId="5" fillId="0" borderId="0" xfId="255" applyNumberFormat="1" applyFont="1" applyAlignment="1" applyProtection="1">
      <alignment horizontal="right"/>
    </xf>
    <xf numFmtId="43" fontId="5" fillId="0" borderId="0" xfId="86" applyFont="1" applyAlignment="1" applyProtection="1"/>
    <xf numFmtId="172" fontId="5" fillId="0" borderId="0" xfId="255" applyFont="1" applyAlignment="1" applyProtection="1">
      <alignment horizontal="right"/>
    </xf>
    <xf numFmtId="0" fontId="32" fillId="0" borderId="0" xfId="0" applyFont="1" applyAlignment="1">
      <alignment horizontal="center"/>
    </xf>
    <xf numFmtId="49" fontId="5" fillId="0" borderId="0" xfId="255" applyNumberFormat="1" applyFont="1" applyAlignment="1" applyProtection="1">
      <alignment horizontal="left"/>
    </xf>
    <xf numFmtId="0" fontId="3" fillId="0" borderId="0" xfId="255" applyNumberFormat="1" applyAlignment="1" applyProtection="1">
      <alignment horizontal="center" vertical="center"/>
    </xf>
    <xf numFmtId="3" fontId="6" fillId="0" borderId="0" xfId="255" applyNumberFormat="1" applyFont="1" applyAlignment="1" applyProtection="1">
      <alignment horizontal="center"/>
    </xf>
    <xf numFmtId="172" fontId="6" fillId="0" borderId="0" xfId="255" applyFont="1" applyAlignment="1" applyProtection="1">
      <alignment horizontal="center"/>
    </xf>
    <xf numFmtId="49" fontId="6" fillId="0" borderId="0" xfId="255" applyNumberFormat="1" applyFont="1" applyAlignment="1" applyProtection="1">
      <alignment horizontal="center"/>
    </xf>
    <xf numFmtId="0" fontId="10" fillId="0" borderId="0" xfId="255" applyNumberFormat="1" applyFont="1" applyAlignment="1" applyProtection="1">
      <alignment horizontal="center"/>
    </xf>
    <xf numFmtId="172" fontId="10" fillId="0" borderId="0" xfId="255" applyFont="1" applyAlignment="1" applyProtection="1">
      <alignment horizontal="center"/>
    </xf>
    <xf numFmtId="3" fontId="6" fillId="0" borderId="0" xfId="255" applyNumberFormat="1" applyFont="1" applyProtection="1"/>
    <xf numFmtId="3" fontId="14" fillId="0" borderId="0" xfId="255" applyNumberFormat="1" applyFont="1" applyAlignment="1" applyProtection="1">
      <alignment horizontal="center"/>
    </xf>
    <xf numFmtId="0" fontId="28" fillId="0" borderId="0" xfId="255" applyNumberFormat="1" applyFont="1" applyProtection="1"/>
    <xf numFmtId="0" fontId="5" fillId="0" borderId="0" xfId="255" applyNumberFormat="1" applyFont="1" applyAlignment="1" applyProtection="1">
      <alignment horizontal="center" vertical="center"/>
    </xf>
    <xf numFmtId="0" fontId="5" fillId="0" borderId="0" xfId="255" applyNumberFormat="1" applyFont="1" applyAlignment="1" applyProtection="1">
      <alignment vertical="center"/>
    </xf>
    <xf numFmtId="3" fontId="5" fillId="0" borderId="0" xfId="255" applyNumberFormat="1" applyFont="1" applyAlignment="1" applyProtection="1">
      <alignment vertical="center" wrapText="1"/>
    </xf>
    <xf numFmtId="3" fontId="5" fillId="0" borderId="0" xfId="255" applyNumberFormat="1" applyFont="1" applyAlignment="1" applyProtection="1">
      <alignment vertical="center"/>
    </xf>
    <xf numFmtId="41" fontId="5" fillId="0" borderId="0" xfId="255" applyNumberFormat="1" applyFont="1" applyAlignment="1" applyProtection="1">
      <alignment vertical="center"/>
    </xf>
    <xf numFmtId="41" fontId="5" fillId="0" borderId="6" xfId="255" applyNumberFormat="1" applyFont="1" applyBorder="1" applyProtection="1"/>
    <xf numFmtId="178" fontId="5" fillId="0" borderId="0" xfId="255" applyNumberFormat="1" applyFont="1" applyProtection="1"/>
    <xf numFmtId="165" fontId="5" fillId="0" borderId="0" xfId="255" applyNumberFormat="1" applyFont="1" applyProtection="1"/>
    <xf numFmtId="164" fontId="5" fillId="0" borderId="0" xfId="255" applyNumberFormat="1" applyFont="1" applyAlignment="1" applyProtection="1">
      <alignment horizontal="center"/>
    </xf>
    <xf numFmtId="0" fontId="3" fillId="32" borderId="0" xfId="255" applyNumberFormat="1" applyFill="1" applyAlignment="1" applyProtection="1">
      <alignment horizontal="center"/>
    </xf>
    <xf numFmtId="3" fontId="6" fillId="0" borderId="0" xfId="255" applyNumberFormat="1" applyFont="1" applyAlignment="1" applyProtection="1">
      <alignment horizontal="right"/>
    </xf>
    <xf numFmtId="182" fontId="5" fillId="0" borderId="0" xfId="86" applyNumberFormat="1" applyFont="1" applyFill="1" applyAlignment="1" applyProtection="1"/>
    <xf numFmtId="164" fontId="5" fillId="0" borderId="0" xfId="255" applyNumberFormat="1" applyFont="1" applyAlignment="1" applyProtection="1">
      <alignment horizontal="left"/>
    </xf>
    <xf numFmtId="175" fontId="5" fillId="0" borderId="0" xfId="255" applyNumberFormat="1" applyFont="1" applyProtection="1"/>
    <xf numFmtId="41" fontId="5" fillId="0" borderId="0" xfId="255" applyNumberFormat="1" applyFont="1" applyAlignment="1" applyProtection="1">
      <alignment horizontal="center" vertical="center"/>
    </xf>
    <xf numFmtId="41" fontId="5" fillId="0" borderId="16" xfId="255" applyNumberFormat="1" applyFont="1" applyBorder="1" applyProtection="1"/>
    <xf numFmtId="0" fontId="85" fillId="0" borderId="0" xfId="255" applyNumberFormat="1" applyFont="1" applyAlignment="1" applyProtection="1">
      <alignment horizontal="center"/>
    </xf>
    <xf numFmtId="3" fontId="5" fillId="0" borderId="0" xfId="255" applyNumberFormat="1" applyFont="1" applyAlignment="1" applyProtection="1">
      <alignment horizontal="right"/>
    </xf>
    <xf numFmtId="172" fontId="5" fillId="0" borderId="0" xfId="255" applyFont="1" applyAlignment="1" applyProtection="1">
      <alignment horizontal="center"/>
    </xf>
    <xf numFmtId="0" fontId="6" fillId="0" borderId="0" xfId="255" applyNumberFormat="1" applyFont="1" applyAlignment="1" applyProtection="1">
      <alignment horizontal="center"/>
    </xf>
    <xf numFmtId="3" fontId="10" fillId="0" borderId="0" xfId="255" applyNumberFormat="1" applyFont="1" applyAlignment="1" applyProtection="1">
      <alignment horizontal="center"/>
    </xf>
    <xf numFmtId="3" fontId="10" fillId="0" borderId="0" xfId="255" applyNumberFormat="1" applyFont="1" applyProtection="1"/>
    <xf numFmtId="41" fontId="151" fillId="32" borderId="0" xfId="255" applyNumberFormat="1" applyFont="1" applyFill="1" applyAlignment="1" applyProtection="1">
      <alignment wrapText="1"/>
    </xf>
    <xf numFmtId="43" fontId="12" fillId="0" borderId="0" xfId="86" applyFont="1" applyAlignment="1" applyProtection="1"/>
    <xf numFmtId="3" fontId="5" fillId="0" borderId="0" xfId="255" applyNumberFormat="1" applyFont="1" applyAlignment="1" applyProtection="1">
      <alignment horizontal="center" vertical="center"/>
    </xf>
    <xf numFmtId="3" fontId="5" fillId="0" borderId="0" xfId="255" applyNumberFormat="1" applyFont="1" applyAlignment="1" applyProtection="1">
      <alignment horizontal="left" wrapText="1"/>
    </xf>
    <xf numFmtId="0" fontId="12" fillId="0" borderId="0" xfId="0" applyFont="1" applyAlignment="1">
      <alignment horizontal="left" wrapText="1"/>
    </xf>
    <xf numFmtId="43" fontId="5" fillId="0" borderId="0" xfId="267" applyNumberFormat="1" applyFont="1" applyFill="1" applyAlignment="1" applyProtection="1"/>
    <xf numFmtId="166" fontId="5" fillId="0" borderId="0" xfId="255" applyNumberFormat="1" applyFont="1" applyProtection="1"/>
    <xf numFmtId="182" fontId="5" fillId="0" borderId="0" xfId="86" applyNumberFormat="1" applyFont="1" applyAlignment="1" applyProtection="1"/>
    <xf numFmtId="167" fontId="5" fillId="0" borderId="0" xfId="255" applyNumberFormat="1" applyFont="1" applyProtection="1"/>
    <xf numFmtId="172" fontId="23" fillId="0" borderId="0" xfId="255" applyFont="1" applyProtection="1"/>
    <xf numFmtId="168" fontId="5" fillId="0" borderId="0" xfId="255" applyNumberFormat="1" applyFont="1" applyProtection="1"/>
    <xf numFmtId="10" fontId="5" fillId="0" borderId="0" xfId="255" applyNumberFormat="1" applyFont="1" applyAlignment="1" applyProtection="1">
      <alignment horizontal="right"/>
    </xf>
    <xf numFmtId="10" fontId="32" fillId="0" borderId="0" xfId="267" applyNumberFormat="1" applyFont="1" applyProtection="1"/>
    <xf numFmtId="3" fontId="23" fillId="0" borderId="0" xfId="255" applyNumberFormat="1" applyFont="1" applyProtection="1"/>
    <xf numFmtId="166" fontId="5" fillId="0" borderId="0" xfId="255" applyNumberFormat="1" applyFont="1" applyAlignment="1" applyProtection="1">
      <alignment horizontal="center"/>
    </xf>
    <xf numFmtId="188" fontId="23" fillId="0" borderId="0" xfId="255" applyNumberFormat="1" applyFont="1" applyAlignment="1" applyProtection="1">
      <alignment horizontal="center"/>
    </xf>
    <xf numFmtId="189" fontId="5" fillId="0" borderId="0" xfId="255" applyNumberFormat="1" applyFont="1" applyProtection="1"/>
    <xf numFmtId="179" fontId="5" fillId="0" borderId="0" xfId="255" applyNumberFormat="1" applyFont="1" applyAlignment="1" applyProtection="1">
      <alignment horizontal="right"/>
    </xf>
    <xf numFmtId="186" fontId="5" fillId="0" borderId="0" xfId="86" applyNumberFormat="1" applyFont="1" applyAlignment="1" applyProtection="1">
      <alignment horizontal="center"/>
    </xf>
    <xf numFmtId="41" fontId="23" fillId="0" borderId="0" xfId="255" applyNumberFormat="1" applyFont="1" applyProtection="1"/>
    <xf numFmtId="43" fontId="23" fillId="0" borderId="0" xfId="86" applyFont="1" applyAlignment="1" applyProtection="1"/>
    <xf numFmtId="10" fontId="5" fillId="0" borderId="0" xfId="255" applyNumberFormat="1" applyFont="1" applyAlignment="1" applyProtection="1">
      <alignment horizontal="left"/>
    </xf>
    <xf numFmtId="168" fontId="5" fillId="0" borderId="0" xfId="255" applyNumberFormat="1" applyFont="1" applyAlignment="1" applyProtection="1">
      <alignment horizontal="left"/>
    </xf>
    <xf numFmtId="179" fontId="5" fillId="0" borderId="0" xfId="255" applyNumberFormat="1" applyFont="1" applyProtection="1"/>
    <xf numFmtId="173" fontId="5" fillId="0" borderId="0" xfId="255" applyNumberFormat="1" applyFont="1" applyProtection="1"/>
    <xf numFmtId="164" fontId="5" fillId="0" borderId="0" xfId="255" applyNumberFormat="1" applyFont="1" applyAlignment="1" applyProtection="1">
      <alignment horizontal="left" vertical="center"/>
    </xf>
    <xf numFmtId="180" fontId="5" fillId="0" borderId="0" xfId="255" applyNumberFormat="1" applyFont="1" applyProtection="1"/>
    <xf numFmtId="173" fontId="5" fillId="0" borderId="14" xfId="86" applyNumberFormat="1" applyFont="1" applyBorder="1" applyAlignment="1" applyProtection="1"/>
    <xf numFmtId="0" fontId="6" fillId="0" borderId="0" xfId="255" applyNumberFormat="1" applyFont="1" applyProtection="1"/>
    <xf numFmtId="0" fontId="5" fillId="0" borderId="0" xfId="0" applyFont="1" applyAlignment="1">
      <alignment horizontal="left"/>
    </xf>
    <xf numFmtId="165" fontId="6" fillId="0" borderId="0" xfId="255" applyNumberFormat="1" applyFont="1" applyAlignment="1" applyProtection="1">
      <alignment horizontal="right"/>
    </xf>
    <xf numFmtId="3" fontId="5" fillId="0" borderId="0" xfId="255" applyNumberFormat="1" applyFont="1" applyAlignment="1" applyProtection="1">
      <alignment horizontal="center" wrapText="1"/>
    </xf>
    <xf numFmtId="173" fontId="5" fillId="0" borderId="0" xfId="86" applyNumberFormat="1" applyFont="1" applyFill="1" applyAlignment="1" applyProtection="1"/>
    <xf numFmtId="4" fontId="5" fillId="0" borderId="0" xfId="255" applyNumberFormat="1" applyFont="1" applyProtection="1"/>
    <xf numFmtId="172" fontId="6" fillId="0" borderId="0" xfId="255" applyFont="1" applyAlignment="1" applyProtection="1">
      <alignment horizontal="right"/>
    </xf>
    <xf numFmtId="165" fontId="6" fillId="0" borderId="0" xfId="255" applyNumberFormat="1" applyFont="1" applyProtection="1"/>
    <xf numFmtId="0" fontId="10" fillId="0" borderId="0" xfId="255" applyNumberFormat="1" applyFont="1" applyProtection="1"/>
    <xf numFmtId="3" fontId="5" fillId="0" borderId="6" xfId="255" applyNumberFormat="1" applyFont="1" applyBorder="1" applyAlignment="1" applyProtection="1">
      <alignment horizontal="center"/>
    </xf>
    <xf numFmtId="41" fontId="6" fillId="0" borderId="0" xfId="255" applyNumberFormat="1" applyFont="1" applyProtection="1"/>
    <xf numFmtId="0" fontId="14" fillId="0" borderId="0" xfId="255" applyNumberFormat="1" applyFont="1" applyAlignment="1" applyProtection="1">
      <alignment horizontal="left"/>
    </xf>
    <xf numFmtId="3" fontId="5" fillId="32" borderId="0" xfId="255" applyNumberFormat="1" applyFont="1" applyFill="1" applyProtection="1"/>
    <xf numFmtId="182" fontId="5" fillId="0" borderId="6" xfId="86" applyNumberFormat="1" applyFont="1" applyFill="1" applyBorder="1" applyAlignment="1" applyProtection="1">
      <alignment horizontal="center"/>
    </xf>
    <xf numFmtId="169" fontId="5" fillId="0" borderId="17" xfId="255" applyNumberFormat="1" applyFont="1" applyBorder="1" applyProtection="1"/>
    <xf numFmtId="169" fontId="5" fillId="0" borderId="0" xfId="255" applyNumberFormat="1" applyFont="1" applyProtection="1"/>
    <xf numFmtId="169" fontId="5" fillId="0" borderId="6" xfId="255" applyNumberFormat="1" applyFont="1" applyBorder="1" applyProtection="1"/>
    <xf numFmtId="182" fontId="12" fillId="0" borderId="0" xfId="86" applyNumberFormat="1" applyFont="1" applyFill="1" applyProtection="1"/>
    <xf numFmtId="169" fontId="6" fillId="0" borderId="0" xfId="255" applyNumberFormat="1" applyFont="1" applyProtection="1"/>
    <xf numFmtId="0" fontId="3" fillId="31" borderId="0" xfId="255" applyNumberFormat="1" applyFill="1" applyAlignment="1" applyProtection="1">
      <alignment horizontal="center"/>
    </xf>
    <xf numFmtId="0" fontId="5" fillId="31" borderId="0" xfId="255" applyNumberFormat="1" applyFont="1" applyFill="1" applyAlignment="1" applyProtection="1">
      <alignment horizontal="center"/>
    </xf>
    <xf numFmtId="0" fontId="10" fillId="31" borderId="0" xfId="255" applyNumberFormat="1" applyFont="1" applyFill="1" applyProtection="1"/>
    <xf numFmtId="0" fontId="5" fillId="31" borderId="0" xfId="255" applyNumberFormat="1" applyFont="1" applyFill="1" applyAlignment="1" applyProtection="1">
      <alignment horizontal="left"/>
    </xf>
    <xf numFmtId="3" fontId="5" fillId="31" borderId="0" xfId="255" applyNumberFormat="1" applyFont="1" applyFill="1" applyProtection="1"/>
    <xf numFmtId="172" fontId="5" fillId="31" borderId="0" xfId="255" applyFont="1" applyFill="1" applyProtection="1"/>
    <xf numFmtId="3" fontId="6" fillId="31" borderId="0" xfId="255" applyNumberFormat="1" applyFont="1" applyFill="1" applyProtection="1"/>
    <xf numFmtId="166" fontId="6" fillId="31" borderId="0" xfId="255" applyNumberFormat="1" applyFont="1" applyFill="1" applyProtection="1"/>
    <xf numFmtId="0" fontId="5" fillId="31" borderId="0" xfId="255" applyNumberFormat="1" applyFont="1" applyFill="1" applyProtection="1"/>
    <xf numFmtId="3" fontId="5" fillId="31" borderId="6" xfId="255" applyNumberFormat="1" applyFont="1" applyFill="1" applyBorder="1" applyAlignment="1" applyProtection="1">
      <alignment horizontal="center"/>
    </xf>
    <xf numFmtId="41" fontId="5" fillId="31" borderId="0" xfId="255" applyNumberFormat="1" applyFont="1" applyFill="1" applyProtection="1"/>
    <xf numFmtId="0" fontId="14" fillId="31" borderId="0" xfId="255" applyNumberFormat="1" applyFont="1" applyFill="1" applyAlignment="1" applyProtection="1">
      <alignment horizontal="left"/>
    </xf>
    <xf numFmtId="0" fontId="0" fillId="31" borderId="0" xfId="0" applyFill="1"/>
    <xf numFmtId="0" fontId="32" fillId="31" borderId="0" xfId="0" applyFont="1" applyFill="1"/>
    <xf numFmtId="41" fontId="19" fillId="31" borderId="0" xfId="255" applyNumberFormat="1" applyFont="1" applyFill="1" applyProtection="1"/>
    <xf numFmtId="10" fontId="5" fillId="31" borderId="0" xfId="267" applyNumberFormat="1" applyFont="1" applyFill="1" applyAlignment="1" applyProtection="1"/>
    <xf numFmtId="41" fontId="19" fillId="31" borderId="6" xfId="255" applyNumberFormat="1" applyFont="1" applyFill="1" applyBorder="1" applyProtection="1"/>
    <xf numFmtId="3" fontId="23" fillId="31" borderId="0" xfId="255" applyNumberFormat="1" applyFont="1" applyFill="1" applyProtection="1"/>
    <xf numFmtId="0" fontId="5" fillId="31" borderId="6" xfId="255" applyNumberFormat="1" applyFont="1" applyFill="1" applyBorder="1" applyAlignment="1" applyProtection="1">
      <alignment horizontal="center"/>
    </xf>
    <xf numFmtId="182" fontId="5" fillId="31" borderId="6" xfId="86" applyNumberFormat="1" applyFont="1" applyFill="1" applyBorder="1" applyAlignment="1" applyProtection="1">
      <alignment horizontal="center"/>
    </xf>
    <xf numFmtId="10" fontId="5" fillId="31" borderId="0" xfId="255" applyNumberFormat="1" applyFont="1" applyFill="1" applyProtection="1"/>
    <xf numFmtId="169" fontId="23" fillId="31" borderId="0" xfId="255" applyNumberFormat="1" applyFont="1" applyFill="1" applyProtection="1"/>
    <xf numFmtId="169" fontId="5" fillId="31" borderId="17" xfId="255" applyNumberFormat="1" applyFont="1" applyFill="1" applyBorder="1" applyProtection="1"/>
    <xf numFmtId="3" fontId="5" fillId="0" borderId="0" xfId="255" quotePrefix="1" applyNumberFormat="1" applyFont="1" applyProtection="1"/>
    <xf numFmtId="169" fontId="5" fillId="31" borderId="0" xfId="255" applyNumberFormat="1" applyFont="1" applyFill="1" applyProtection="1"/>
    <xf numFmtId="41" fontId="5" fillId="31" borderId="6" xfId="255" applyNumberFormat="1" applyFont="1" applyFill="1" applyBorder="1" applyProtection="1"/>
    <xf numFmtId="169" fontId="5" fillId="31" borderId="6" xfId="255" applyNumberFormat="1" applyFont="1" applyFill="1" applyBorder="1" applyProtection="1"/>
    <xf numFmtId="182" fontId="22" fillId="31" borderId="0" xfId="86" applyNumberFormat="1" applyFont="1" applyFill="1" applyProtection="1"/>
    <xf numFmtId="3" fontId="6" fillId="31" borderId="0" xfId="255" applyNumberFormat="1" applyFont="1" applyFill="1" applyAlignment="1" applyProtection="1">
      <alignment horizontal="right"/>
    </xf>
    <xf numFmtId="169" fontId="6" fillId="31" borderId="0" xfId="255" applyNumberFormat="1" applyFont="1" applyFill="1" applyProtection="1"/>
    <xf numFmtId="3" fontId="6" fillId="0" borderId="0" xfId="255" quotePrefix="1" applyNumberFormat="1" applyFont="1" applyProtection="1"/>
    <xf numFmtId="172" fontId="3" fillId="0" borderId="0" xfId="255" applyAlignment="1" applyProtection="1">
      <alignment horizontal="center"/>
    </xf>
    <xf numFmtId="0" fontId="22" fillId="0" borderId="0" xfId="0" applyFont="1"/>
    <xf numFmtId="0" fontId="26" fillId="0" borderId="0" xfId="255" applyNumberFormat="1" applyFont="1" applyProtection="1"/>
    <xf numFmtId="0" fontId="107" fillId="0" borderId="0" xfId="255" applyNumberFormat="1" applyFont="1" applyProtection="1"/>
    <xf numFmtId="172" fontId="26" fillId="0" borderId="0" xfId="255" applyFont="1" applyProtection="1"/>
    <xf numFmtId="0" fontId="26" fillId="0" borderId="0" xfId="0" applyFont="1" applyAlignment="1">
      <alignment vertical="top" wrapText="1"/>
    </xf>
    <xf numFmtId="172" fontId="26" fillId="0" borderId="0" xfId="255" applyFont="1" applyAlignment="1" applyProtection="1">
      <alignment wrapText="1"/>
    </xf>
    <xf numFmtId="172" fontId="107" fillId="0" borderId="0" xfId="255" applyFont="1" applyProtection="1"/>
    <xf numFmtId="0" fontId="3" fillId="0" borderId="0" xfId="255" applyNumberFormat="1" applyProtection="1"/>
    <xf numFmtId="172" fontId="3" fillId="0" borderId="0" xfId="255" applyAlignment="1" applyProtection="1">
      <alignment horizontal="center" wrapText="1"/>
    </xf>
    <xf numFmtId="0" fontId="5" fillId="32" borderId="0" xfId="255" applyNumberFormat="1" applyFont="1" applyFill="1" applyAlignment="1" applyProtection="1">
      <alignment vertical="top" wrapText="1"/>
    </xf>
    <xf numFmtId="0" fontId="12" fillId="32" borderId="0" xfId="0" applyFont="1" applyFill="1"/>
    <xf numFmtId="0" fontId="93" fillId="0" borderId="0" xfId="255" applyNumberFormat="1" applyFont="1" applyAlignment="1" applyProtection="1">
      <alignment horizontal="center"/>
    </xf>
    <xf numFmtId="172" fontId="23" fillId="0" borderId="0" xfId="255" applyFont="1" applyAlignment="1" applyProtection="1">
      <alignment wrapText="1"/>
    </xf>
    <xf numFmtId="173" fontId="19" fillId="0" borderId="0" xfId="86" applyNumberFormat="1" applyFont="1" applyFill="1" applyAlignment="1" applyProtection="1">
      <alignment horizontal="right"/>
    </xf>
    <xf numFmtId="10" fontId="19" fillId="30" borderId="0" xfId="267" applyNumberFormat="1" applyFont="1" applyFill="1" applyAlignment="1" applyProtection="1">
      <protection locked="0"/>
    </xf>
    <xf numFmtId="0" fontId="19" fillId="30" borderId="0" xfId="86" applyNumberFormat="1" applyFont="1" applyFill="1" applyAlignment="1" applyProtection="1">
      <protection locked="0"/>
    </xf>
    <xf numFmtId="0" fontId="12" fillId="0" borderId="0" xfId="207"/>
    <xf numFmtId="0" fontId="12" fillId="0" borderId="0" xfId="207" applyAlignment="1">
      <alignment horizontal="center"/>
    </xf>
    <xf numFmtId="0" fontId="17" fillId="0" borderId="0" xfId="248" applyFont="1" applyAlignment="1">
      <alignment horizontal="center"/>
    </xf>
    <xf numFmtId="0" fontId="12" fillId="0" borderId="0" xfId="207" applyAlignment="1">
      <alignment horizontal="center" wrapText="1"/>
    </xf>
    <xf numFmtId="0" fontId="9" fillId="0" borderId="0" xfId="207" applyFont="1" applyAlignment="1">
      <alignment horizontal="left"/>
    </xf>
    <xf numFmtId="3" fontId="12" fillId="0" borderId="0" xfId="207" applyNumberFormat="1"/>
    <xf numFmtId="173" fontId="0" fillId="0" borderId="0" xfId="86" applyNumberFormat="1" applyFont="1" applyFill="1" applyProtection="1"/>
    <xf numFmtId="173" fontId="12" fillId="0" borderId="0" xfId="89" applyNumberFormat="1" applyFont="1" applyFill="1" applyBorder="1" applyAlignment="1" applyProtection="1">
      <alignment horizontal="right"/>
    </xf>
    <xf numFmtId="0" fontId="12" fillId="0" borderId="0" xfId="207" applyAlignment="1">
      <alignment horizontal="left"/>
    </xf>
    <xf numFmtId="0" fontId="7" fillId="0" borderId="0" xfId="207" applyFont="1" applyAlignment="1">
      <alignment horizontal="left"/>
    </xf>
    <xf numFmtId="173" fontId="8" fillId="30" borderId="0" xfId="89" applyNumberFormat="1" applyFont="1" applyFill="1" applyBorder="1" applyAlignment="1" applyProtection="1">
      <alignment horizontal="right"/>
      <protection locked="0"/>
    </xf>
    <xf numFmtId="0" fontId="9" fillId="0" borderId="0" xfId="207" applyFont="1" applyAlignment="1">
      <alignment horizontal="center"/>
    </xf>
    <xf numFmtId="0" fontId="9" fillId="0" borderId="0" xfId="207" applyFont="1"/>
    <xf numFmtId="0" fontId="13" fillId="0" borderId="0" xfId="0" applyFont="1"/>
    <xf numFmtId="3" fontId="13" fillId="0" borderId="0" xfId="207" applyNumberFormat="1" applyFont="1" applyAlignment="1">
      <alignment horizontal="center"/>
    </xf>
    <xf numFmtId="0" fontId="17" fillId="0" borderId="0" xfId="207" applyFont="1" applyAlignment="1">
      <alignment horizontal="center"/>
    </xf>
    <xf numFmtId="0" fontId="13" fillId="0" borderId="0" xfId="207" applyFont="1" applyAlignment="1">
      <alignment horizontal="left"/>
    </xf>
    <xf numFmtId="173" fontId="13" fillId="0" borderId="0" xfId="89" applyNumberFormat="1" applyFont="1" applyFill="1" applyBorder="1" applyAlignment="1" applyProtection="1">
      <alignment horizontal="right"/>
    </xf>
    <xf numFmtId="164" fontId="12" fillId="0" borderId="0" xfId="269" applyNumberFormat="1" applyFont="1" applyFill="1" applyBorder="1" applyAlignment="1" applyProtection="1"/>
    <xf numFmtId="173" fontId="12" fillId="0" borderId="0" xfId="89" applyNumberFormat="1" applyFont="1" applyFill="1" applyBorder="1" applyAlignment="1" applyProtection="1">
      <alignment horizontal="left"/>
    </xf>
    <xf numFmtId="0" fontId="8" fillId="0" borderId="0" xfId="207" applyFont="1"/>
    <xf numFmtId="0" fontId="87" fillId="0" borderId="0" xfId="0" applyFont="1" applyAlignment="1">
      <alignment horizontal="center"/>
    </xf>
    <xf numFmtId="0" fontId="12" fillId="25" borderId="0" xfId="207" applyFill="1" applyAlignment="1">
      <alignment horizontal="center"/>
    </xf>
    <xf numFmtId="0" fontId="9" fillId="25" borderId="0" xfId="207" applyFont="1" applyFill="1" applyAlignment="1">
      <alignment horizontal="left"/>
    </xf>
    <xf numFmtId="0" fontId="8" fillId="25" borderId="0" xfId="207" applyFont="1" applyFill="1"/>
    <xf numFmtId="0" fontId="12" fillId="25" borderId="0" xfId="207" applyFill="1" applyAlignment="1">
      <alignment horizontal="left"/>
    </xf>
    <xf numFmtId="0" fontId="12" fillId="25" borderId="0" xfId="207" applyFill="1"/>
    <xf numFmtId="173" fontId="12" fillId="25" borderId="0" xfId="89" applyNumberFormat="1" applyFont="1" applyFill="1" applyBorder="1" applyAlignment="1" applyProtection="1">
      <alignment horizontal="right"/>
    </xf>
    <xf numFmtId="0" fontId="0" fillId="25" borderId="0" xfId="0" applyFill="1"/>
    <xf numFmtId="164" fontId="12" fillId="25" borderId="0" xfId="269" applyNumberFormat="1" applyFont="1" applyFill="1" applyBorder="1" applyAlignment="1" applyProtection="1"/>
    <xf numFmtId="173" fontId="12" fillId="25" borderId="0" xfId="89" applyNumberFormat="1" applyFont="1" applyFill="1" applyBorder="1" applyAlignment="1" applyProtection="1">
      <alignment horizontal="left"/>
    </xf>
    <xf numFmtId="0" fontId="81" fillId="0" borderId="0" xfId="207" applyFont="1" applyAlignment="1">
      <alignment horizontal="left"/>
    </xf>
    <xf numFmtId="9" fontId="9" fillId="0" borderId="0" xfId="248" quotePrefix="1" applyNumberFormat="1" applyFont="1" applyAlignment="1">
      <alignment horizontal="center"/>
    </xf>
    <xf numFmtId="0" fontId="69" fillId="0" borderId="0" xfId="248" applyFont="1" applyAlignment="1">
      <alignment horizontal="center"/>
    </xf>
    <xf numFmtId="0" fontId="86" fillId="0" borderId="0" xfId="248" applyFont="1" applyAlignment="1">
      <alignment horizontal="center"/>
    </xf>
    <xf numFmtId="38" fontId="12" fillId="0" borderId="0" xfId="207" applyNumberFormat="1" applyAlignment="1">
      <alignment horizontal="right"/>
    </xf>
    <xf numFmtId="37" fontId="12" fillId="0" borderId="0" xfId="207" applyNumberFormat="1" applyAlignment="1">
      <alignment horizontal="right"/>
    </xf>
    <xf numFmtId="0" fontId="12" fillId="0" borderId="0" xfId="207" applyAlignment="1">
      <alignment horizontal="right"/>
    </xf>
    <xf numFmtId="38" fontId="12" fillId="0" borderId="0" xfId="0" applyNumberFormat="1" applyFont="1" applyAlignment="1">
      <alignment horizontal="right"/>
    </xf>
    <xf numFmtId="38" fontId="8" fillId="0" borderId="0" xfId="207" applyNumberFormat="1" applyFont="1"/>
    <xf numFmtId="37" fontId="8" fillId="0" borderId="0" xfId="207" applyNumberFormat="1" applyFont="1"/>
    <xf numFmtId="173" fontId="8" fillId="0" borderId="14" xfId="86" applyNumberFormat="1" applyFont="1" applyFill="1" applyBorder="1" applyAlignment="1" applyProtection="1"/>
    <xf numFmtId="0" fontId="12" fillId="0" borderId="14" xfId="207" applyBorder="1" applyAlignment="1">
      <alignment horizontal="left"/>
    </xf>
    <xf numFmtId="173" fontId="12" fillId="0" borderId="14" xfId="89" applyNumberFormat="1" applyFont="1" applyFill="1" applyBorder="1" applyAlignment="1" applyProtection="1">
      <alignment horizontal="right"/>
    </xf>
    <xf numFmtId="0" fontId="80" fillId="0" borderId="0" xfId="248" applyFont="1"/>
    <xf numFmtId="173" fontId="2" fillId="0" borderId="0" xfId="86" applyNumberFormat="1" applyProtection="1"/>
    <xf numFmtId="173" fontId="2" fillId="0" borderId="0" xfId="86" applyNumberFormat="1" applyFill="1" applyProtection="1"/>
    <xf numFmtId="173" fontId="12" fillId="0" borderId="0" xfId="86" applyNumberFormat="1" applyFont="1" applyFill="1" applyProtection="1"/>
    <xf numFmtId="173" fontId="2" fillId="0" borderId="0" xfId="86" applyNumberFormat="1" applyFont="1" applyFill="1" applyProtection="1"/>
    <xf numFmtId="0" fontId="9" fillId="0" borderId="0" xfId="248" applyFont="1"/>
    <xf numFmtId="38" fontId="12" fillId="0" borderId="17" xfId="0" applyNumberFormat="1" applyFont="1" applyBorder="1"/>
    <xf numFmtId="37" fontId="12" fillId="0" borderId="17" xfId="0" applyNumberFormat="1" applyFont="1" applyBorder="1"/>
    <xf numFmtId="0" fontId="152" fillId="0" borderId="0" xfId="207" applyFont="1"/>
    <xf numFmtId="0" fontId="32" fillId="0" borderId="0" xfId="248" applyFont="1" applyAlignment="1">
      <alignment horizontal="left"/>
    </xf>
    <xf numFmtId="0" fontId="96" fillId="0" borderId="0" xfId="248" applyFont="1" applyAlignment="1">
      <alignment horizontal="center"/>
    </xf>
    <xf numFmtId="0" fontId="97" fillId="0" borderId="0" xfId="248" applyFont="1"/>
    <xf numFmtId="37" fontId="0" fillId="0" borderId="0" xfId="0" applyNumberFormat="1"/>
    <xf numFmtId="37" fontId="8" fillId="30" borderId="0" xfId="0" applyNumberFormat="1" applyFont="1" applyFill="1" applyProtection="1">
      <protection locked="0"/>
    </xf>
    <xf numFmtId="0" fontId="2" fillId="0" borderId="0" xfId="0" applyFont="1" applyAlignment="1">
      <alignment horizontal="center"/>
    </xf>
    <xf numFmtId="0" fontId="121" fillId="0" borderId="0" xfId="0" applyFont="1" applyAlignment="1">
      <alignment horizontal="center"/>
    </xf>
    <xf numFmtId="0" fontId="121" fillId="0" borderId="0" xfId="0" applyFont="1" applyAlignment="1">
      <alignment horizontal="left"/>
    </xf>
    <xf numFmtId="0" fontId="121"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09" fillId="0" borderId="0" xfId="255" applyFont="1" applyProtection="1"/>
    <xf numFmtId="0" fontId="120" fillId="0" borderId="0" xfId="0" applyFont="1" applyAlignment="1">
      <alignment horizontal="center"/>
    </xf>
    <xf numFmtId="174" fontId="12" fillId="0" borderId="0" xfId="86" applyNumberFormat="1" applyFont="1" applyFill="1" applyProtection="1"/>
    <xf numFmtId="174" fontId="0" fillId="0" borderId="0" xfId="0" applyNumberFormat="1"/>
    <xf numFmtId="43" fontId="8" fillId="30" borderId="0" xfId="0" applyNumberFormat="1" applyFont="1" applyFill="1" applyProtection="1">
      <protection locked="0"/>
    </xf>
    <xf numFmtId="0" fontId="3" fillId="0" borderId="0" xfId="0" applyFont="1"/>
    <xf numFmtId="0" fontId="3" fillId="0" borderId="0" xfId="260" applyFont="1"/>
    <xf numFmtId="0" fontId="3" fillId="0" borderId="0" xfId="260" applyFont="1" applyAlignment="1">
      <alignment horizontal="right"/>
    </xf>
    <xf numFmtId="0" fontId="10" fillId="0" borderId="0" xfId="260" applyFont="1" applyAlignment="1">
      <alignment horizontal="center"/>
    </xf>
    <xf numFmtId="0" fontId="5" fillId="0" borderId="0" xfId="260" applyFont="1"/>
    <xf numFmtId="0" fontId="82" fillId="0" borderId="0" xfId="260" applyFont="1"/>
    <xf numFmtId="0" fontId="26" fillId="0" borderId="0" xfId="0" applyFont="1" applyAlignment="1">
      <alignment horizontal="center"/>
    </xf>
    <xf numFmtId="0" fontId="3" fillId="0" borderId="0" xfId="0" applyFont="1" applyAlignment="1">
      <alignment horizontal="right"/>
    </xf>
    <xf numFmtId="0" fontId="6" fillId="0" borderId="0" xfId="260" applyFont="1"/>
    <xf numFmtId="0" fontId="26" fillId="0" borderId="0" xfId="260" applyFont="1" applyAlignment="1">
      <alignment horizontal="center"/>
    </xf>
    <xf numFmtId="0" fontId="9" fillId="0" borderId="0" xfId="260" applyFont="1" applyAlignment="1">
      <alignment horizontal="center"/>
    </xf>
    <xf numFmtId="0" fontId="9" fillId="0" borderId="0" xfId="260" applyFont="1"/>
    <xf numFmtId="0" fontId="101" fillId="0" borderId="0" xfId="0" applyFont="1"/>
    <xf numFmtId="0" fontId="101" fillId="0" borderId="0" xfId="260" applyFont="1"/>
    <xf numFmtId="0" fontId="12" fillId="0" borderId="0" xfId="260" applyFont="1"/>
    <xf numFmtId="173" fontId="12" fillId="0" borderId="0" xfId="260" applyNumberFormat="1" applyFont="1"/>
    <xf numFmtId="172" fontId="12" fillId="0" borderId="0" xfId="260" applyNumberFormat="1" applyFont="1" applyAlignment="1">
      <alignment horizontal="center"/>
    </xf>
    <xf numFmtId="43" fontId="12" fillId="0" borderId="0" xfId="112" applyFont="1" applyFill="1" applyProtection="1"/>
    <xf numFmtId="0" fontId="94" fillId="0" borderId="0" xfId="260" applyFont="1"/>
    <xf numFmtId="185" fontId="12" fillId="0" borderId="0" xfId="0" applyNumberFormat="1" applyFont="1"/>
    <xf numFmtId="173" fontId="12" fillId="0" borderId="13" xfId="0" applyNumberFormat="1" applyFont="1" applyBorder="1"/>
    <xf numFmtId="173" fontId="12" fillId="0" borderId="13" xfId="260" applyNumberFormat="1" applyFont="1" applyBorder="1"/>
    <xf numFmtId="0" fontId="26" fillId="0" borderId="0" xfId="260" applyFont="1"/>
    <xf numFmtId="43" fontId="5" fillId="0" borderId="0" xfId="112" applyFont="1" applyFill="1" applyProtection="1"/>
    <xf numFmtId="173" fontId="5" fillId="0" borderId="0" xfId="260" applyNumberFormat="1" applyFont="1"/>
    <xf numFmtId="0" fontId="6" fillId="0" borderId="0" xfId="0" applyFont="1" applyAlignment="1">
      <alignment horizontal="center"/>
    </xf>
    <xf numFmtId="173" fontId="8" fillId="30" borderId="0" xfId="112" applyNumberFormat="1" applyFont="1" applyFill="1" applyProtection="1">
      <protection locked="0"/>
    </xf>
    <xf numFmtId="41" fontId="19" fillId="30" borderId="0" xfId="248" applyNumberFormat="1" applyFont="1" applyFill="1" applyProtection="1">
      <protection locked="0"/>
    </xf>
    <xf numFmtId="3" fontId="19" fillId="30" borderId="0" xfId="0" applyNumberFormat="1" applyFont="1" applyFill="1" applyProtection="1">
      <protection locked="0"/>
    </xf>
    <xf numFmtId="41" fontId="27" fillId="30" borderId="0" xfId="248" applyNumberFormat="1" applyFont="1" applyFill="1" applyProtection="1">
      <protection locked="0"/>
    </xf>
    <xf numFmtId="0" fontId="18" fillId="0" borderId="0" xfId="0" applyFont="1"/>
    <xf numFmtId="0" fontId="18" fillId="0" borderId="0" xfId="0" applyFont="1" applyAlignment="1">
      <alignment horizontal="right"/>
    </xf>
    <xf numFmtId="0" fontId="5" fillId="0" borderId="0" xfId="0" applyFont="1" applyAlignment="1">
      <alignment horizontal="center" wrapText="1"/>
    </xf>
    <xf numFmtId="37" fontId="5" fillId="0" borderId="0" xfId="0" applyNumberFormat="1" applyFont="1"/>
    <xf numFmtId="37" fontId="5" fillId="0" borderId="0" xfId="0" applyNumberFormat="1" applyFont="1" applyAlignment="1">
      <alignment horizontal="center"/>
    </xf>
    <xf numFmtId="0" fontId="15" fillId="0" borderId="0" xfId="0" applyFont="1"/>
    <xf numFmtId="10" fontId="5" fillId="0" borderId="0" xfId="0" applyNumberFormat="1" applyFont="1"/>
    <xf numFmtId="176" fontId="5" fillId="0" borderId="0" xfId="0" applyNumberFormat="1" applyFont="1"/>
    <xf numFmtId="10" fontId="5" fillId="0" borderId="14" xfId="0" applyNumberFormat="1" applyFont="1" applyBorder="1"/>
    <xf numFmtId="10" fontId="19" fillId="30" borderId="0" xfId="0" applyNumberFormat="1" applyFont="1" applyFill="1" applyProtection="1">
      <protection locked="0"/>
    </xf>
    <xf numFmtId="10" fontId="19" fillId="30" borderId="11" xfId="0" applyNumberFormat="1" applyFont="1" applyFill="1" applyBorder="1" applyProtection="1">
      <protection locked="0"/>
    </xf>
    <xf numFmtId="0" fontId="5" fillId="30" borderId="0" xfId="0" applyFont="1" applyFill="1" applyProtection="1">
      <protection locked="0"/>
    </xf>
    <xf numFmtId="0" fontId="5" fillId="0" borderId="0" xfId="256" applyFont="1"/>
    <xf numFmtId="0" fontId="9" fillId="0" borderId="0" xfId="256" applyFont="1"/>
    <xf numFmtId="0" fontId="74" fillId="0" borderId="11" xfId="256" applyFont="1" applyBorder="1" applyAlignment="1">
      <alignment horizontal="center"/>
    </xf>
    <xf numFmtId="0" fontId="9" fillId="0" borderId="0" xfId="256" applyFont="1" applyAlignment="1">
      <alignment horizontal="center"/>
    </xf>
    <xf numFmtId="185" fontId="72" fillId="0" borderId="0" xfId="256" applyNumberFormat="1" applyFont="1"/>
    <xf numFmtId="185" fontId="18" fillId="0" borderId="0" xfId="256" applyNumberFormat="1" applyFont="1"/>
    <xf numFmtId="173" fontId="5" fillId="0" borderId="0" xfId="256" applyNumberFormat="1" applyFont="1"/>
    <xf numFmtId="173" fontId="76" fillId="0" borderId="0" xfId="256" applyNumberFormat="1" applyFont="1"/>
    <xf numFmtId="185" fontId="5" fillId="0" borderId="0" xfId="256" applyNumberFormat="1" applyFont="1"/>
    <xf numFmtId="173" fontId="76" fillId="0" borderId="0" xfId="86" applyNumberFormat="1" applyFont="1" applyProtection="1"/>
    <xf numFmtId="0" fontId="116" fillId="0" borderId="0" xfId="255" applyNumberFormat="1" applyFont="1" applyProtection="1"/>
    <xf numFmtId="173" fontId="117" fillId="0" borderId="0" xfId="256" applyNumberFormat="1" applyFont="1"/>
    <xf numFmtId="185" fontId="118" fillId="0" borderId="0" xfId="256" applyNumberFormat="1" applyFont="1"/>
    <xf numFmtId="173" fontId="117" fillId="0" borderId="0" xfId="86" applyNumberFormat="1" applyFont="1" applyProtection="1"/>
    <xf numFmtId="173" fontId="99" fillId="0" borderId="0" xfId="256" applyNumberFormat="1" applyFont="1"/>
    <xf numFmtId="43" fontId="71" fillId="0" borderId="0" xfId="86" applyFont="1" applyProtection="1"/>
    <xf numFmtId="43" fontId="76" fillId="0" borderId="0" xfId="86" applyFont="1" applyProtection="1"/>
    <xf numFmtId="173" fontId="5" fillId="0" borderId="0" xfId="86" applyNumberFormat="1" applyFont="1" applyProtection="1"/>
    <xf numFmtId="173" fontId="71" fillId="0" borderId="14" xfId="86" applyNumberFormat="1" applyFont="1" applyBorder="1" applyProtection="1"/>
    <xf numFmtId="0" fontId="74" fillId="0" borderId="0" xfId="256" applyFont="1" applyAlignment="1">
      <alignment horizontal="center" wrapText="1"/>
    </xf>
    <xf numFmtId="0" fontId="79" fillId="0" borderId="0" xfId="256" applyFont="1" applyAlignment="1">
      <alignment horizontal="center"/>
    </xf>
    <xf numFmtId="41" fontId="99" fillId="0" borderId="0" xfId="256" applyNumberFormat="1" applyFont="1"/>
    <xf numFmtId="41" fontId="71" fillId="0" borderId="0" xfId="256" applyNumberFormat="1" applyFont="1"/>
    <xf numFmtId="10" fontId="71" fillId="0" borderId="0" xfId="267" applyNumberFormat="1" applyFont="1" applyFill="1" applyProtection="1"/>
    <xf numFmtId="164" fontId="71" fillId="0" borderId="0" xfId="267" applyNumberFormat="1" applyFont="1" applyFill="1" applyProtection="1"/>
    <xf numFmtId="187" fontId="12" fillId="0" borderId="0" xfId="267" applyNumberFormat="1" applyFont="1" applyFill="1" applyProtection="1"/>
    <xf numFmtId="41" fontId="84" fillId="28" borderId="0" xfId="256" applyNumberFormat="1" applyFont="1" applyFill="1"/>
    <xf numFmtId="10" fontId="71" fillId="0" borderId="11" xfId="267" applyNumberFormat="1" applyFont="1" applyFill="1" applyBorder="1" applyProtection="1"/>
    <xf numFmtId="173" fontId="71" fillId="0" borderId="0" xfId="86" applyNumberFormat="1" applyFont="1" applyFill="1" applyProtection="1"/>
    <xf numFmtId="10" fontId="71" fillId="0" borderId="0" xfId="267" applyNumberFormat="1" applyFont="1" applyFill="1" applyBorder="1" applyProtection="1"/>
    <xf numFmtId="173" fontId="71" fillId="0" borderId="0" xfId="86" applyNumberFormat="1" applyFont="1" applyFill="1" applyBorder="1" applyProtection="1"/>
    <xf numFmtId="173" fontId="12" fillId="0" borderId="0" xfId="256" applyNumberFormat="1" applyFont="1"/>
    <xf numFmtId="173" fontId="71" fillId="0" borderId="18" xfId="86" applyNumberFormat="1" applyFont="1" applyFill="1" applyBorder="1" applyProtection="1"/>
    <xf numFmtId="0" fontId="74" fillId="30" borderId="0" xfId="256" applyFont="1" applyFill="1" applyProtection="1">
      <protection locked="0"/>
    </xf>
    <xf numFmtId="0" fontId="99" fillId="30" borderId="0" xfId="256" applyFont="1" applyFill="1" applyProtection="1">
      <protection locked="0"/>
    </xf>
    <xf numFmtId="0" fontId="71" fillId="30" borderId="0" xfId="256" applyFont="1" applyFill="1" applyProtection="1">
      <protection locked="0"/>
    </xf>
    <xf numFmtId="10" fontId="78" fillId="30" borderId="11" xfId="267" applyNumberFormat="1" applyFont="1" applyFill="1" applyBorder="1" applyProtection="1">
      <protection locked="0"/>
    </xf>
    <xf numFmtId="173" fontId="78" fillId="30" borderId="0" xfId="256" applyNumberFormat="1" applyFont="1" applyFill="1" applyProtection="1">
      <protection locked="0"/>
    </xf>
    <xf numFmtId="0" fontId="11" fillId="0" borderId="0" xfId="0" applyFont="1"/>
    <xf numFmtId="0" fontId="18" fillId="0" borderId="0" xfId="0" applyFont="1" applyAlignment="1">
      <alignment horizontal="left"/>
    </xf>
    <xf numFmtId="0" fontId="66" fillId="0" borderId="0" xfId="0" applyFont="1"/>
    <xf numFmtId="0" fontId="0" fillId="0" borderId="0" xfId="0" applyAlignment="1">
      <alignment wrapText="1"/>
    </xf>
    <xf numFmtId="0" fontId="6" fillId="0" borderId="0" xfId="0" applyFont="1" applyAlignment="1">
      <alignment horizontal="left"/>
    </xf>
    <xf numFmtId="0" fontId="12" fillId="0" borderId="0" xfId="255" applyNumberFormat="1" applyFont="1" applyProtection="1"/>
    <xf numFmtId="3" fontId="12" fillId="0" borderId="0" xfId="255" applyNumberFormat="1" applyFont="1" applyProtection="1"/>
    <xf numFmtId="10" fontId="2" fillId="0" borderId="0" xfId="267" applyNumberFormat="1" applyAlignment="1" applyProtection="1">
      <alignment horizontal="right"/>
    </xf>
    <xf numFmtId="172" fontId="12" fillId="0" borderId="0" xfId="255" applyFont="1" applyProtection="1"/>
    <xf numFmtId="10" fontId="12" fillId="0" borderId="0" xfId="267" applyNumberFormat="1" applyFont="1" applyFill="1" applyAlignment="1" applyProtection="1">
      <alignment horizontal="right"/>
    </xf>
    <xf numFmtId="3" fontId="9" fillId="0" borderId="0" xfId="255" applyNumberFormat="1" applyFont="1" applyProtection="1"/>
    <xf numFmtId="10" fontId="12" fillId="0" borderId="0" xfId="255" applyNumberFormat="1" applyFont="1" applyAlignment="1" applyProtection="1">
      <alignment horizontal="right"/>
    </xf>
    <xf numFmtId="3" fontId="13" fillId="0" borderId="0" xfId="255" applyNumberFormat="1" applyFont="1" applyAlignment="1" applyProtection="1">
      <alignment horizontal="center"/>
    </xf>
    <xf numFmtId="10" fontId="13" fillId="0" borderId="0" xfId="255" applyNumberFormat="1" applyFont="1" applyAlignment="1" applyProtection="1">
      <alignment horizontal="center"/>
    </xf>
    <xf numFmtId="0" fontId="12" fillId="0" borderId="0" xfId="255" applyNumberFormat="1" applyFont="1" applyAlignment="1" applyProtection="1">
      <alignment horizontal="right"/>
    </xf>
    <xf numFmtId="10" fontId="0" fillId="0" borderId="0" xfId="0" applyNumberFormat="1" applyAlignment="1">
      <alignment horizontal="center"/>
    </xf>
    <xf numFmtId="164" fontId="12" fillId="0" borderId="0" xfId="267" applyNumberFormat="1" applyFont="1" applyAlignment="1" applyProtection="1"/>
    <xf numFmtId="166" fontId="12" fillId="0" borderId="0" xfId="255" applyNumberFormat="1" applyFont="1" applyAlignment="1" applyProtection="1">
      <alignment horizontal="center"/>
    </xf>
    <xf numFmtId="41" fontId="12" fillId="0" borderId="0" xfId="255" applyNumberFormat="1" applyFont="1" applyProtection="1"/>
    <xf numFmtId="41" fontId="12" fillId="0" borderId="0" xfId="255" applyNumberFormat="1" applyFont="1" applyAlignment="1" applyProtection="1">
      <alignment horizontal="center"/>
    </xf>
    <xf numFmtId="164" fontId="13" fillId="0" borderId="0" xfId="267" applyNumberFormat="1" applyFont="1" applyAlignment="1" applyProtection="1"/>
    <xf numFmtId="3" fontId="12" fillId="0" borderId="0" xfId="255" applyNumberFormat="1" applyFont="1" applyAlignment="1" applyProtection="1">
      <alignment horizontal="right"/>
    </xf>
    <xf numFmtId="172" fontId="2" fillId="0" borderId="19" xfId="255" applyFont="1" applyBorder="1" applyProtection="1"/>
    <xf numFmtId="0" fontId="2" fillId="0" borderId="0" xfId="255" applyNumberFormat="1" applyFont="1" applyAlignment="1" applyProtection="1">
      <alignment horizontal="center"/>
    </xf>
    <xf numFmtId="172" fontId="2" fillId="0" borderId="0" xfId="255" applyFont="1" applyProtection="1"/>
    <xf numFmtId="3" fontId="2" fillId="0" borderId="20" xfId="255" applyNumberFormat="1" applyFont="1" applyBorder="1" applyProtection="1"/>
    <xf numFmtId="10" fontId="12" fillId="0" borderId="0" xfId="255" applyNumberFormat="1" applyFont="1" applyAlignment="1" applyProtection="1">
      <alignment horizontal="left"/>
    </xf>
    <xf numFmtId="0" fontId="2" fillId="0" borderId="19" xfId="0" applyFont="1" applyBorder="1"/>
    <xf numFmtId="0" fontId="2" fillId="0" borderId="20" xfId="0" applyFont="1" applyBorder="1"/>
    <xf numFmtId="166" fontId="2" fillId="0" borderId="21" xfId="255" applyNumberFormat="1" applyFont="1" applyBorder="1" applyAlignment="1" applyProtection="1">
      <alignment horizontal="center"/>
    </xf>
    <xf numFmtId="0" fontId="2" fillId="0" borderId="6" xfId="255" applyNumberFormat="1" applyFont="1" applyBorder="1" applyAlignment="1" applyProtection="1">
      <alignment horizontal="center"/>
    </xf>
    <xf numFmtId="174" fontId="2" fillId="0" borderId="22" xfId="0" applyNumberFormat="1" applyFont="1" applyBorder="1"/>
    <xf numFmtId="41" fontId="2" fillId="0" borderId="0" xfId="255" applyNumberFormat="1" applyFont="1" applyProtection="1"/>
    <xf numFmtId="173" fontId="2" fillId="0" borderId="0" xfId="255" applyNumberFormat="1" applyFont="1" applyAlignment="1" applyProtection="1">
      <alignment horizontal="center"/>
    </xf>
    <xf numFmtId="41" fontId="12" fillId="0" borderId="0" xfId="255" applyNumberFormat="1" applyFont="1" applyAlignment="1" applyProtection="1">
      <alignment horizontal="left"/>
    </xf>
    <xf numFmtId="41" fontId="2" fillId="0" borderId="0" xfId="255" applyNumberFormat="1" applyFont="1" applyAlignment="1" applyProtection="1">
      <alignment horizontal="right"/>
    </xf>
    <xf numFmtId="167" fontId="12" fillId="0" borderId="0" xfId="255" applyNumberFormat="1" applyFont="1" applyProtection="1"/>
    <xf numFmtId="164" fontId="12" fillId="0" borderId="0" xfId="255" applyNumberFormat="1" applyFont="1" applyAlignment="1" applyProtection="1">
      <alignment horizontal="left"/>
    </xf>
    <xf numFmtId="3" fontId="12" fillId="0" borderId="0" xfId="255" applyNumberFormat="1" applyFont="1" applyAlignment="1" applyProtection="1">
      <alignment vertical="center" wrapText="1"/>
    </xf>
    <xf numFmtId="41" fontId="12" fillId="0" borderId="0" xfId="255" applyNumberFormat="1" applyFont="1" applyAlignment="1" applyProtection="1">
      <alignment vertical="center"/>
    </xf>
    <xf numFmtId="41" fontId="12" fillId="0" borderId="0" xfId="255" applyNumberFormat="1" applyFont="1" applyAlignment="1" applyProtection="1">
      <alignment horizontal="center" vertical="center"/>
    </xf>
    <xf numFmtId="41" fontId="12" fillId="0" borderId="0" xfId="255" applyNumberFormat="1" applyFont="1" applyAlignment="1" applyProtection="1">
      <alignment horizontal="right"/>
    </xf>
    <xf numFmtId="10" fontId="12" fillId="0" borderId="0" xfId="0" applyNumberFormat="1" applyFont="1"/>
    <xf numFmtId="173" fontId="12" fillId="0" borderId="0" xfId="86" applyNumberFormat="1" applyFont="1" applyProtection="1"/>
    <xf numFmtId="41" fontId="12" fillId="0" borderId="0" xfId="0" applyNumberFormat="1" applyFont="1"/>
    <xf numFmtId="41" fontId="12" fillId="0" borderId="6" xfId="255" applyNumberFormat="1" applyFont="1" applyBorder="1" applyProtection="1"/>
    <xf numFmtId="0" fontId="12" fillId="32" borderId="0" xfId="255" applyNumberFormat="1" applyFont="1" applyFill="1" applyProtection="1"/>
    <xf numFmtId="41" fontId="13" fillId="0" borderId="0" xfId="255" applyNumberFormat="1" applyFont="1" applyProtection="1"/>
    <xf numFmtId="3" fontId="12" fillId="0" borderId="0" xfId="255" applyNumberFormat="1" applyFont="1" applyAlignment="1" applyProtection="1">
      <alignment horizontal="center"/>
    </xf>
    <xf numFmtId="0" fontId="12" fillId="0" borderId="0" xfId="255" applyNumberFormat="1" applyFont="1" applyAlignment="1" applyProtection="1">
      <alignment horizontal="center"/>
    </xf>
    <xf numFmtId="10" fontId="12" fillId="0" borderId="0" xfId="255" applyNumberFormat="1" applyFont="1" applyProtection="1"/>
    <xf numFmtId="169" fontId="12" fillId="0" borderId="0" xfId="255" applyNumberFormat="1" applyFont="1" applyProtection="1"/>
    <xf numFmtId="169" fontId="9" fillId="0" borderId="0" xfId="255" applyNumberFormat="1" applyFont="1" applyProtection="1"/>
    <xf numFmtId="41" fontId="13" fillId="0" borderId="0" xfId="0" applyNumberFormat="1" applyFont="1"/>
    <xf numFmtId="4" fontId="12" fillId="0" borderId="0" xfId="255" applyNumberFormat="1" applyFont="1" applyProtection="1"/>
    <xf numFmtId="10" fontId="13" fillId="0" borderId="0" xfId="0" applyNumberFormat="1" applyFont="1"/>
    <xf numFmtId="173" fontId="12" fillId="0" borderId="0" xfId="86" applyNumberFormat="1" applyFont="1" applyBorder="1" applyProtection="1"/>
    <xf numFmtId="43" fontId="12" fillId="0" borderId="0" xfId="86" applyFont="1" applyProtection="1"/>
    <xf numFmtId="43" fontId="12" fillId="0" borderId="0" xfId="86" applyFont="1" applyFill="1" applyProtection="1"/>
    <xf numFmtId="173" fontId="12" fillId="0" borderId="0" xfId="0" applyNumberFormat="1" applyFont="1"/>
    <xf numFmtId="0" fontId="68" fillId="0" borderId="0" xfId="0" applyFont="1"/>
    <xf numFmtId="0" fontId="12" fillId="27" borderId="0" xfId="0" applyFont="1" applyFill="1"/>
    <xf numFmtId="0" fontId="9" fillId="0" borderId="23" xfId="0" applyFont="1" applyBorder="1"/>
    <xf numFmtId="0" fontId="9" fillId="0" borderId="17" xfId="0" applyFont="1" applyBorder="1"/>
    <xf numFmtId="0" fontId="12" fillId="0" borderId="17" xfId="0" applyFont="1" applyBorder="1"/>
    <xf numFmtId="173" fontId="9" fillId="0" borderId="24" xfId="86" applyNumberFormat="1" applyFont="1" applyBorder="1" applyProtection="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9" xfId="0" applyFont="1" applyBorder="1"/>
    <xf numFmtId="0" fontId="6" fillId="0" borderId="0" xfId="86" applyNumberFormat="1" applyFont="1" applyFill="1" applyBorder="1" applyAlignment="1" applyProtection="1">
      <alignment horizontal="left"/>
    </xf>
    <xf numFmtId="173" fontId="9" fillId="0" borderId="25" xfId="86" applyNumberFormat="1" applyFont="1" applyBorder="1" applyProtection="1"/>
    <xf numFmtId="0" fontId="9" fillId="0" borderId="0" xfId="0" applyFont="1"/>
    <xf numFmtId="173" fontId="9" fillId="0" borderId="21" xfId="86" applyNumberFormat="1" applyFont="1" applyBorder="1" applyProtection="1"/>
    <xf numFmtId="173" fontId="12" fillId="0" borderId="6" xfId="86" applyNumberFormat="1" applyFont="1" applyBorder="1" applyProtection="1"/>
    <xf numFmtId="173" fontId="12" fillId="0" borderId="22"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6" xfId="0" applyFont="1" applyBorder="1" applyAlignment="1">
      <alignment horizontal="center"/>
    </xf>
    <xf numFmtId="0" fontId="0" fillId="0" borderId="27" xfId="0" applyBorder="1"/>
    <xf numFmtId="0" fontId="0" fillId="0" borderId="28" xfId="0" applyBorder="1"/>
    <xf numFmtId="0" fontId="12" fillId="0" borderId="19" xfId="0" applyFont="1" applyBorder="1"/>
    <xf numFmtId="0" fontId="9" fillId="0" borderId="24" xfId="0" applyFont="1" applyBorder="1" applyAlignment="1">
      <alignment horizontal="center"/>
    </xf>
    <xf numFmtId="173" fontId="12" fillId="0" borderId="0" xfId="0" applyNumberFormat="1" applyFont="1" applyAlignment="1">
      <alignment horizontal="right"/>
    </xf>
    <xf numFmtId="10" fontId="12" fillId="0" borderId="20" xfId="0" applyNumberFormat="1" applyFont="1" applyBorder="1"/>
    <xf numFmtId="173" fontId="12" fillId="0" borderId="20" xfId="0" applyNumberFormat="1" applyFont="1" applyBorder="1" applyAlignment="1">
      <alignment horizontal="right"/>
    </xf>
    <xf numFmtId="0" fontId="12" fillId="0" borderId="21" xfId="0" applyFont="1" applyBorder="1"/>
    <xf numFmtId="0" fontId="12" fillId="0" borderId="6" xfId="0" applyFont="1" applyBorder="1" applyAlignment="1">
      <alignment horizontal="center"/>
    </xf>
    <xf numFmtId="0" fontId="0" fillId="0" borderId="6" xfId="0" applyBorder="1"/>
    <xf numFmtId="0" fontId="9" fillId="0" borderId="29"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9" xfId="86" applyNumberFormat="1" applyFont="1" applyBorder="1" applyAlignment="1" applyProtection="1">
      <alignment horizontal="center" wrapText="1"/>
    </xf>
    <xf numFmtId="173" fontId="9" fillId="0" borderId="24" xfId="86" applyNumberFormat="1" applyFont="1" applyBorder="1" applyAlignment="1" applyProtection="1">
      <alignment horizontal="center" wrapText="1"/>
    </xf>
    <xf numFmtId="0" fontId="9" fillId="0" borderId="30" xfId="0" applyFont="1" applyBorder="1" applyAlignment="1">
      <alignment horizontal="center" wrapText="1"/>
    </xf>
    <xf numFmtId="173" fontId="9" fillId="29" borderId="29" xfId="86" applyNumberFormat="1" applyFont="1" applyFill="1" applyBorder="1" applyAlignment="1" applyProtection="1">
      <alignment horizontal="center" wrapText="1"/>
    </xf>
    <xf numFmtId="0" fontId="9" fillId="0" borderId="31" xfId="0" applyFont="1" applyBorder="1" applyAlignment="1">
      <alignment horizontal="center"/>
    </xf>
    <xf numFmtId="0" fontId="9" fillId="0" borderId="6" xfId="0" applyFont="1" applyBorder="1" applyAlignment="1">
      <alignment horizontal="center"/>
    </xf>
    <xf numFmtId="173" fontId="9" fillId="0" borderId="31" xfId="86" applyNumberFormat="1" applyFont="1" applyBorder="1" applyAlignment="1" applyProtection="1">
      <alignment horizontal="center"/>
    </xf>
    <xf numFmtId="173" fontId="9" fillId="0" borderId="22" xfId="86" applyNumberFormat="1" applyFont="1" applyBorder="1" applyAlignment="1" applyProtection="1">
      <alignment horizontal="center"/>
    </xf>
    <xf numFmtId="0" fontId="9" fillId="0" borderId="30" xfId="0" applyFont="1" applyBorder="1" applyAlignment="1">
      <alignment horizontal="center"/>
    </xf>
    <xf numFmtId="173" fontId="9" fillId="29" borderId="31" xfId="86" applyNumberFormat="1" applyFont="1" applyFill="1" applyBorder="1" applyAlignment="1" applyProtection="1">
      <alignment horizontal="center"/>
    </xf>
    <xf numFmtId="0" fontId="12" fillId="0" borderId="30" xfId="0" applyFont="1" applyBorder="1" applyAlignment="1">
      <alignment horizontal="center"/>
    </xf>
    <xf numFmtId="173" fontId="12" fillId="0" borderId="30" xfId="0" applyNumberFormat="1" applyFont="1" applyBorder="1"/>
    <xf numFmtId="173" fontId="12" fillId="0" borderId="30" xfId="86" applyNumberFormat="1" applyFont="1" applyFill="1" applyBorder="1" applyProtection="1"/>
    <xf numFmtId="173" fontId="12" fillId="0" borderId="20" xfId="86" applyNumberFormat="1" applyFont="1" applyFill="1" applyBorder="1" applyProtection="1"/>
    <xf numFmtId="174" fontId="12" fillId="0" borderId="30" xfId="0" applyNumberFormat="1" applyFont="1" applyBorder="1"/>
    <xf numFmtId="174" fontId="12" fillId="29" borderId="29" xfId="0" applyNumberFormat="1" applyFont="1" applyFill="1" applyBorder="1"/>
    <xf numFmtId="173" fontId="12" fillId="0" borderId="30" xfId="86" applyNumberFormat="1" applyFont="1" applyBorder="1" applyProtection="1"/>
    <xf numFmtId="173" fontId="12" fillId="0" borderId="20" xfId="86" applyNumberFormat="1" applyFont="1" applyBorder="1" applyProtection="1"/>
    <xf numFmtId="174" fontId="12" fillId="29" borderId="30" xfId="0" applyNumberFormat="1" applyFont="1" applyFill="1" applyBorder="1"/>
    <xf numFmtId="174" fontId="12" fillId="29" borderId="30" xfId="0" applyNumberFormat="1" applyFont="1" applyFill="1" applyBorder="1" applyAlignment="1">
      <alignment wrapText="1"/>
    </xf>
    <xf numFmtId="0" fontId="12" fillId="0" borderId="31" xfId="0" applyFont="1" applyBorder="1" applyAlignment="1">
      <alignment horizontal="center"/>
    </xf>
    <xf numFmtId="173" fontId="12" fillId="0" borderId="6" xfId="0" applyNumberFormat="1" applyFont="1" applyBorder="1"/>
    <xf numFmtId="173" fontId="12" fillId="0" borderId="31" xfId="0" applyNumberFormat="1" applyFont="1" applyBorder="1"/>
    <xf numFmtId="173" fontId="12" fillId="0" borderId="31" xfId="86" applyNumberFormat="1" applyFont="1" applyBorder="1" applyProtection="1"/>
    <xf numFmtId="174" fontId="12" fillId="0" borderId="31" xfId="0" applyNumberFormat="1" applyFont="1" applyBorder="1"/>
    <xf numFmtId="174" fontId="12" fillId="29" borderId="31" xfId="0" applyNumberFormat="1" applyFont="1" applyFill="1" applyBorder="1"/>
    <xf numFmtId="174" fontId="12" fillId="0" borderId="0" xfId="0" applyNumberFormat="1" applyFont="1"/>
    <xf numFmtId="0" fontId="8" fillId="30" borderId="0" xfId="86" applyNumberFormat="1" applyFont="1" applyFill="1" applyAlignment="1" applyProtection="1">
      <protection locked="0"/>
    </xf>
    <xf numFmtId="0" fontId="19" fillId="30" borderId="0" xfId="86" applyNumberFormat="1" applyFont="1" applyFill="1" applyAlignment="1" applyProtection="1">
      <alignment horizontal="left"/>
      <protection locked="0"/>
    </xf>
    <xf numFmtId="0" fontId="153" fillId="30" borderId="22" xfId="0" applyFont="1" applyFill="1" applyBorder="1" applyAlignment="1" applyProtection="1">
      <alignment horizontal="right"/>
      <protection locked="0"/>
    </xf>
    <xf numFmtId="173" fontId="153" fillId="30" borderId="20" xfId="86" applyNumberFormat="1" applyFont="1" applyFill="1" applyBorder="1" applyAlignment="1" applyProtection="1">
      <alignment horizontal="right"/>
      <protection locked="0"/>
    </xf>
    <xf numFmtId="0" fontId="153" fillId="30" borderId="20" xfId="0" applyFont="1" applyFill="1" applyBorder="1" applyAlignment="1" applyProtection="1">
      <alignment horizontal="right"/>
      <protection locked="0"/>
    </xf>
    <xf numFmtId="173" fontId="8" fillId="0" borderId="20" xfId="0" applyNumberFormat="1" applyFont="1" applyBorder="1" applyAlignment="1">
      <alignment horizontal="right"/>
    </xf>
    <xf numFmtId="174" fontId="8" fillId="30" borderId="29" xfId="0" applyNumberFormat="1" applyFont="1" applyFill="1" applyBorder="1" applyProtection="1">
      <protection locked="0"/>
    </xf>
    <xf numFmtId="174" fontId="8" fillId="30" borderId="30" xfId="0" applyNumberFormat="1" applyFont="1" applyFill="1" applyBorder="1" applyProtection="1">
      <protection locked="0"/>
    </xf>
    <xf numFmtId="174" fontId="8" fillId="30" borderId="31" xfId="0" applyNumberFormat="1" applyFont="1" applyFill="1" applyBorder="1" applyProtection="1">
      <protection locked="0"/>
    </xf>
    <xf numFmtId="10" fontId="0" fillId="0" borderId="0" xfId="267" applyNumberFormat="1" applyFont="1" applyAlignment="1" applyProtection="1">
      <alignment horizontal="right"/>
    </xf>
    <xf numFmtId="172" fontId="12" fillId="0" borderId="23" xfId="255" applyFont="1" applyBorder="1" applyProtection="1"/>
    <xf numFmtId="172" fontId="12" fillId="0" borderId="17" xfId="255" applyFont="1" applyBorder="1" applyProtection="1"/>
    <xf numFmtId="3" fontId="12" fillId="0" borderId="24" xfId="255" applyNumberFormat="1" applyFont="1" applyBorder="1" applyProtection="1"/>
    <xf numFmtId="172" fontId="12" fillId="0" borderId="19" xfId="255" applyFont="1" applyBorder="1" applyProtection="1"/>
    <xf numFmtId="3" fontId="12" fillId="0" borderId="20" xfId="255" applyNumberFormat="1" applyFont="1" applyBorder="1" applyProtection="1"/>
    <xf numFmtId="0" fontId="12" fillId="0" borderId="0" xfId="255" quotePrefix="1" applyNumberFormat="1" applyFont="1" applyAlignment="1" applyProtection="1">
      <alignment horizontal="center"/>
    </xf>
    <xf numFmtId="0" fontId="12" fillId="0" borderId="20" xfId="0" applyFont="1" applyBorder="1"/>
    <xf numFmtId="10" fontId="32" fillId="0" borderId="0" xfId="0" applyNumberFormat="1" applyFont="1" applyAlignment="1">
      <alignment horizontal="center"/>
    </xf>
    <xf numFmtId="174" fontId="12" fillId="0" borderId="20" xfId="0" applyNumberFormat="1" applyFont="1" applyBorder="1"/>
    <xf numFmtId="174" fontId="12" fillId="0" borderId="22" xfId="0" applyNumberFormat="1" applyFont="1" applyBorder="1"/>
    <xf numFmtId="173" fontId="12" fillId="0" borderId="24" xfId="0" applyNumberFormat="1" applyFont="1" applyBorder="1"/>
    <xf numFmtId="166" fontId="12" fillId="0" borderId="21" xfId="255" applyNumberFormat="1" applyFont="1" applyBorder="1" applyAlignment="1" applyProtection="1">
      <alignment horizontal="center"/>
    </xf>
    <xf numFmtId="0" fontId="12" fillId="0" borderId="6" xfId="255" applyNumberFormat="1" applyFont="1" applyBorder="1" applyAlignment="1" applyProtection="1">
      <alignment horizontal="center"/>
    </xf>
    <xf numFmtId="173" fontId="12" fillId="0" borderId="6" xfId="255" quotePrefix="1" applyNumberFormat="1" applyFont="1" applyBorder="1" applyAlignment="1" applyProtection="1">
      <alignment horizontal="center"/>
    </xf>
    <xf numFmtId="41" fontId="12" fillId="0" borderId="11" xfId="255" applyNumberFormat="1" applyFont="1" applyBorder="1" applyProtection="1"/>
    <xf numFmtId="10" fontId="12" fillId="0" borderId="0" xfId="267" applyNumberFormat="1" applyFont="1" applyFill="1" applyBorder="1" applyAlignment="1" applyProtection="1"/>
    <xf numFmtId="173" fontId="12" fillId="0" borderId="0" xfId="86" applyNumberFormat="1" applyFont="1" applyFill="1" applyBorder="1" applyProtection="1"/>
    <xf numFmtId="182" fontId="12" fillId="0" borderId="0" xfId="86" applyNumberFormat="1" applyFont="1" applyProtection="1"/>
    <xf numFmtId="0" fontId="9" fillId="0" borderId="23" xfId="0" applyFont="1" applyBorder="1" applyAlignment="1">
      <alignment horizontal="center"/>
    </xf>
    <xf numFmtId="173" fontId="12" fillId="0" borderId="19" xfId="86" applyNumberFormat="1" applyFont="1" applyBorder="1" applyProtection="1"/>
    <xf numFmtId="173" fontId="9" fillId="0" borderId="0" xfId="86" applyNumberFormat="1" applyFont="1" applyBorder="1" applyProtection="1"/>
    <xf numFmtId="173" fontId="12" fillId="0" borderId="20" xfId="0" applyNumberFormat="1" applyFont="1" applyBorder="1"/>
    <xf numFmtId="173" fontId="9" fillId="0" borderId="11" xfId="86" applyNumberFormat="1" applyFont="1" applyBorder="1" applyProtection="1"/>
    <xf numFmtId="173" fontId="12" fillId="0" borderId="25" xfId="0" applyNumberFormat="1" applyFont="1" applyBorder="1"/>
    <xf numFmtId="173" fontId="9" fillId="0" borderId="6" xfId="86" applyNumberFormat="1" applyFont="1" applyFill="1" applyBorder="1" applyAlignment="1" applyProtection="1">
      <alignment horizontal="left"/>
    </xf>
    <xf numFmtId="173" fontId="9" fillId="0" borderId="22" xfId="86" applyNumberFormat="1" applyFont="1" applyFill="1" applyBorder="1" applyAlignment="1" applyProtection="1">
      <alignment horizontal="left"/>
    </xf>
    <xf numFmtId="173" fontId="12" fillId="0" borderId="29" xfId="0" applyNumberFormat="1" applyFont="1" applyBorder="1"/>
    <xf numFmtId="174" fontId="12" fillId="0" borderId="29" xfId="0" applyNumberFormat="1" applyFont="1" applyBorder="1"/>
    <xf numFmtId="0" fontId="90" fillId="0" borderId="0" xfId="248" applyFont="1"/>
    <xf numFmtId="173" fontId="8" fillId="30" borderId="0" xfId="86" applyNumberFormat="1" applyFont="1" applyFill="1" applyBorder="1" applyProtection="1">
      <protection locked="0"/>
    </xf>
    <xf numFmtId="10" fontId="8" fillId="30" borderId="0" xfId="267" applyNumberFormat="1" applyFont="1" applyFill="1" applyAlignment="1" applyProtection="1">
      <alignment horizontal="right" wrapText="1"/>
      <protection locked="0"/>
    </xf>
    <xf numFmtId="44" fontId="8" fillId="30" borderId="0" xfId="115" applyFont="1" applyFill="1" applyAlignment="1" applyProtection="1">
      <alignment horizontal="right" wrapText="1"/>
      <protection locked="0"/>
    </xf>
    <xf numFmtId="173" fontId="20" fillId="30" borderId="0" xfId="86" applyNumberFormat="1" applyFont="1" applyFill="1" applyProtection="1">
      <protection locked="0"/>
    </xf>
    <xf numFmtId="191" fontId="20" fillId="30" borderId="0" xfId="0" applyNumberFormat="1" applyFont="1" applyFill="1" applyProtection="1">
      <protection locked="0"/>
    </xf>
    <xf numFmtId="0" fontId="0" fillId="30" borderId="0" xfId="0" applyFill="1" applyAlignment="1" applyProtection="1">
      <alignment horizontal="center"/>
      <protection locked="0"/>
    </xf>
    <xf numFmtId="0" fontId="20" fillId="30" borderId="0" xfId="0" applyFont="1" applyFill="1" applyProtection="1">
      <protection locked="0"/>
    </xf>
    <xf numFmtId="0" fontId="102" fillId="0" borderId="0" xfId="258" applyFont="1"/>
    <xf numFmtId="0" fontId="3" fillId="0" borderId="0" xfId="258"/>
    <xf numFmtId="0" fontId="103" fillId="0" borderId="0" xfId="258" applyFont="1"/>
    <xf numFmtId="0" fontId="104" fillId="0" borderId="0" xfId="258" applyFont="1" applyAlignment="1">
      <alignment horizontal="center"/>
    </xf>
    <xf numFmtId="0" fontId="113" fillId="0" borderId="0" xfId="258" applyFont="1" applyAlignment="1">
      <alignment horizontal="center"/>
    </xf>
    <xf numFmtId="0" fontId="3" fillId="0" borderId="0" xfId="258" applyAlignment="1">
      <alignment horizontal="center"/>
    </xf>
    <xf numFmtId="0" fontId="105" fillId="0" borderId="15" xfId="258" applyFont="1" applyBorder="1"/>
    <xf numFmtId="0" fontId="103" fillId="0" borderId="15" xfId="258" applyFont="1" applyBorder="1"/>
    <xf numFmtId="0" fontId="105" fillId="0" borderId="0" xfId="258" applyFont="1"/>
    <xf numFmtId="192" fontId="3" fillId="0" borderId="0" xfId="258" applyNumberFormat="1"/>
    <xf numFmtId="0" fontId="3" fillId="0" borderId="0" xfId="258" applyAlignment="1">
      <alignment wrapText="1"/>
    </xf>
    <xf numFmtId="0" fontId="106" fillId="0" borderId="32" xfId="258" applyFont="1" applyBorder="1"/>
    <xf numFmtId="0" fontId="82" fillId="0" borderId="2" xfId="258" applyFont="1" applyBorder="1" applyAlignment="1">
      <alignment horizontal="center"/>
    </xf>
    <xf numFmtId="0" fontId="82" fillId="0" borderId="33" xfId="258" applyFont="1" applyBorder="1" applyAlignment="1">
      <alignment horizontal="center"/>
    </xf>
    <xf numFmtId="0" fontId="3" fillId="0" borderId="34" xfId="258" applyBorder="1"/>
    <xf numFmtId="3" fontId="3" fillId="0" borderId="0" xfId="258" applyNumberFormat="1"/>
    <xf numFmtId="3" fontId="3" fillId="0" borderId="35" xfId="258" applyNumberFormat="1" applyBorder="1"/>
    <xf numFmtId="0" fontId="5" fillId="0" borderId="34" xfId="258" applyFont="1" applyBorder="1"/>
    <xf numFmtId="0" fontId="3" fillId="0" borderId="36" xfId="258" applyBorder="1"/>
    <xf numFmtId="10" fontId="3" fillId="0" borderId="11" xfId="267" applyNumberFormat="1" applyFont="1" applyFill="1" applyBorder="1" applyAlignment="1" applyProtection="1">
      <alignment horizontal="center"/>
    </xf>
    <xf numFmtId="10" fontId="77" fillId="0" borderId="37" xfId="267" applyNumberFormat="1" applyFont="1" applyFill="1" applyBorder="1" applyAlignment="1" applyProtection="1">
      <alignment horizontal="center"/>
    </xf>
    <xf numFmtId="0" fontId="12" fillId="0" borderId="0" xfId="262" applyFont="1"/>
    <xf numFmtId="0" fontId="9" fillId="0" borderId="0" xfId="262" applyFont="1" applyAlignment="1">
      <alignment horizontal="center" wrapText="1"/>
    </xf>
    <xf numFmtId="173" fontId="12" fillId="0" borderId="11" xfId="86" applyNumberFormat="1" applyFont="1" applyFill="1" applyBorder="1" applyAlignment="1" applyProtection="1"/>
    <xf numFmtId="173" fontId="12" fillId="0" borderId="0" xfId="86" applyNumberFormat="1" applyFont="1" applyFill="1" applyBorder="1" applyAlignment="1" applyProtection="1"/>
    <xf numFmtId="0" fontId="12" fillId="0" borderId="0" xfId="248" applyFont="1" applyAlignment="1">
      <alignment horizontal="left" vertical="top" wrapText="1"/>
    </xf>
    <xf numFmtId="0" fontId="110" fillId="0" borderId="0" xfId="262"/>
    <xf numFmtId="0" fontId="9" fillId="0" borderId="0" xfId="262" applyFont="1"/>
    <xf numFmtId="173" fontId="12" fillId="0" borderId="0" xfId="262" applyNumberFormat="1" applyFont="1"/>
    <xf numFmtId="0" fontId="12" fillId="0" borderId="0" xfId="262" applyFont="1" applyAlignment="1">
      <alignment vertical="top" wrapText="1"/>
    </xf>
    <xf numFmtId="10" fontId="12" fillId="0" borderId="0" xfId="262" applyNumberFormat="1" applyFont="1"/>
    <xf numFmtId="44" fontId="12" fillId="0" borderId="0" xfId="262" applyNumberFormat="1" applyFont="1"/>
    <xf numFmtId="0" fontId="114" fillId="0" borderId="0" xfId="262" applyFont="1"/>
    <xf numFmtId="173" fontId="12" fillId="0" borderId="11" xfId="262" applyNumberFormat="1" applyFont="1" applyBorder="1"/>
    <xf numFmtId="10" fontId="12" fillId="0" borderId="0" xfId="267" applyNumberFormat="1" applyFont="1" applyProtection="1"/>
    <xf numFmtId="10" fontId="12" fillId="0" borderId="0" xfId="267" applyNumberFormat="1" applyFont="1" applyFill="1" applyProtection="1"/>
    <xf numFmtId="10" fontId="12" fillId="32" borderId="0" xfId="267" applyNumberFormat="1" applyFont="1" applyFill="1" applyProtection="1"/>
    <xf numFmtId="10" fontId="12" fillId="0" borderId="11" xfId="267" applyNumberFormat="1" applyFont="1" applyBorder="1" applyProtection="1"/>
    <xf numFmtId="10" fontId="9" fillId="0" borderId="0" xfId="267" applyNumberFormat="1" applyFont="1" applyProtection="1"/>
    <xf numFmtId="173" fontId="12" fillId="0" borderId="11" xfId="86" applyNumberFormat="1" applyFont="1" applyFill="1" applyBorder="1" applyProtection="1"/>
    <xf numFmtId="0" fontId="115" fillId="0" borderId="0" xfId="262" applyFont="1"/>
    <xf numFmtId="0" fontId="94" fillId="0" borderId="0" xfId="262" applyFont="1"/>
    <xf numFmtId="43" fontId="12" fillId="0" borderId="0" xfId="262" applyNumberFormat="1" applyFont="1"/>
    <xf numFmtId="10" fontId="12" fillId="0" borderId="11" xfId="267" applyNumberFormat="1" applyFont="1" applyFill="1" applyBorder="1" applyProtection="1"/>
    <xf numFmtId="10" fontId="94" fillId="0" borderId="0" xfId="267" applyNumberFormat="1" applyFont="1" applyFill="1" applyProtection="1"/>
    <xf numFmtId="10" fontId="12" fillId="30" borderId="0" xfId="267" applyNumberFormat="1" applyFont="1" applyFill="1" applyAlignment="1" applyProtection="1">
      <alignment horizontal="right" wrapText="1"/>
      <protection locked="0"/>
    </xf>
    <xf numFmtId="164" fontId="8" fillId="30" borderId="0" xfId="267" applyNumberFormat="1" applyFont="1" applyFill="1" applyAlignment="1" applyProtection="1">
      <alignment horizontal="right" wrapText="1"/>
      <protection locked="0"/>
    </xf>
    <xf numFmtId="44" fontId="12" fillId="30" borderId="0" xfId="115" applyFont="1" applyFill="1" applyAlignment="1" applyProtection="1">
      <alignment horizontal="right" wrapText="1"/>
      <protection locked="0"/>
    </xf>
    <xf numFmtId="173" fontId="12" fillId="30" borderId="0" xfId="86" applyNumberFormat="1" applyFont="1" applyFill="1" applyProtection="1">
      <protection locked="0"/>
    </xf>
    <xf numFmtId="170" fontId="122" fillId="30" borderId="31" xfId="0" applyNumberFormat="1" applyFont="1" applyFill="1" applyBorder="1" applyAlignment="1" applyProtection="1">
      <alignment horizontal="center"/>
      <protection locked="0"/>
    </xf>
    <xf numFmtId="0" fontId="122" fillId="0" borderId="0" xfId="0" applyFont="1" applyAlignment="1">
      <alignment horizontal="left"/>
    </xf>
    <xf numFmtId="0" fontId="122" fillId="0" borderId="0" xfId="0" applyFont="1"/>
    <xf numFmtId="0" fontId="122" fillId="0" borderId="30" xfId="0" applyFont="1" applyBorder="1" applyAlignment="1">
      <alignment horizontal="center" wrapText="1"/>
    </xf>
    <xf numFmtId="0" fontId="122" fillId="0" borderId="30" xfId="0" applyFont="1" applyBorder="1"/>
    <xf numFmtId="170" fontId="122" fillId="0" borderId="0" xfId="0" applyNumberFormat="1" applyFont="1" applyAlignment="1">
      <alignment horizontal="center"/>
    </xf>
    <xf numFmtId="170" fontId="122" fillId="0" borderId="0" xfId="0" applyNumberFormat="1" applyFont="1"/>
    <xf numFmtId="170" fontId="5" fillId="0" borderId="0" xfId="0" applyNumberFormat="1" applyFont="1"/>
    <xf numFmtId="5" fontId="122" fillId="0" borderId="31"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5"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68"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8" applyNumberFormat="1" applyFont="1" applyFill="1" applyProtection="1"/>
    <xf numFmtId="176" fontId="122" fillId="0" borderId="0" xfId="0" applyNumberFormat="1" applyFont="1"/>
    <xf numFmtId="173" fontId="122" fillId="0" borderId="11" xfId="88" applyNumberFormat="1" applyFont="1" applyFill="1" applyBorder="1" applyProtection="1"/>
    <xf numFmtId="173" fontId="123" fillId="0" borderId="0" xfId="88" applyNumberFormat="1" applyFont="1" applyFill="1" applyProtection="1"/>
    <xf numFmtId="173" fontId="123" fillId="0" borderId="0" xfId="88" applyNumberFormat="1" applyFont="1" applyFill="1" applyAlignment="1" applyProtection="1">
      <alignment horizontal="center"/>
    </xf>
    <xf numFmtId="0" fontId="124" fillId="0" borderId="0" xfId="0" applyFont="1"/>
    <xf numFmtId="195" fontId="5" fillId="0" borderId="0" xfId="0" applyNumberFormat="1" applyFont="1"/>
    <xf numFmtId="173" fontId="5" fillId="0" borderId="0" xfId="88" applyNumberFormat="1" applyFont="1" applyFill="1" applyProtection="1"/>
    <xf numFmtId="173" fontId="5" fillId="0" borderId="0" xfId="116" applyNumberFormat="1" applyFont="1" applyFill="1" applyProtection="1"/>
    <xf numFmtId="176" fontId="122" fillId="30" borderId="0" xfId="268" applyNumberFormat="1" applyFont="1" applyFill="1" applyProtection="1">
      <protection locked="0"/>
    </xf>
    <xf numFmtId="173" fontId="2" fillId="30" borderId="6" xfId="255" applyNumberFormat="1" applyFont="1" applyFill="1" applyBorder="1" applyAlignment="1" applyProtection="1">
      <alignment horizontal="center"/>
      <protection locked="0"/>
    </xf>
    <xf numFmtId="174" fontId="153" fillId="30" borderId="0" xfId="0" applyNumberFormat="1" applyFont="1" applyFill="1" applyProtection="1">
      <protection locked="0"/>
    </xf>
    <xf numFmtId="174" fontId="12" fillId="30" borderId="6" xfId="0" applyNumberFormat="1" applyFont="1" applyFill="1" applyBorder="1" applyProtection="1">
      <protection locked="0"/>
    </xf>
    <xf numFmtId="41" fontId="12" fillId="32" borderId="0" xfId="255" applyNumberFormat="1" applyFont="1" applyFill="1" applyProtection="1"/>
    <xf numFmtId="41" fontId="12" fillId="32" borderId="0" xfId="255" applyNumberFormat="1" applyFont="1" applyFill="1" applyAlignment="1" applyProtection="1">
      <alignment horizontal="center"/>
    </xf>
    <xf numFmtId="41" fontId="12" fillId="32" borderId="0" xfId="0" applyNumberFormat="1" applyFont="1" applyFill="1"/>
    <xf numFmtId="173" fontId="12" fillId="32" borderId="0" xfId="86" applyNumberFormat="1" applyFont="1" applyFill="1" applyProtection="1"/>
    <xf numFmtId="10" fontId="12" fillId="32" borderId="0" xfId="0" applyNumberFormat="1" applyFont="1" applyFill="1"/>
    <xf numFmtId="10" fontId="13" fillId="32" borderId="0" xfId="0" applyNumberFormat="1" applyFont="1" applyFill="1"/>
    <xf numFmtId="3" fontId="5" fillId="30" borderId="0" xfId="0" applyNumberFormat="1" applyFont="1" applyFill="1" applyAlignment="1" applyProtection="1">
      <alignment horizontal="center"/>
      <protection locked="0"/>
    </xf>
    <xf numFmtId="0" fontId="15" fillId="30" borderId="0" xfId="248" applyFont="1" applyFill="1" applyAlignment="1" applyProtection="1">
      <alignment horizontal="left"/>
      <protection locked="0"/>
    </xf>
    <xf numFmtId="0" fontId="15" fillId="30" borderId="0" xfId="248" applyFont="1" applyFill="1" applyProtection="1">
      <protection locked="0"/>
    </xf>
    <xf numFmtId="0" fontId="10" fillId="30" borderId="0" xfId="248" applyFont="1" applyFill="1" applyAlignment="1" applyProtection="1">
      <alignment horizontal="center"/>
      <protection locked="0"/>
    </xf>
    <xf numFmtId="3" fontId="63" fillId="30" borderId="0" xfId="0" applyNumberFormat="1" applyFont="1" applyFill="1" applyProtection="1">
      <protection locked="0"/>
    </xf>
    <xf numFmtId="3" fontId="63" fillId="30" borderId="0" xfId="0" quotePrefix="1" applyNumberFormat="1" applyFont="1" applyFill="1" applyProtection="1">
      <protection locked="0"/>
    </xf>
    <xf numFmtId="3" fontId="125" fillId="30" borderId="0" xfId="0" applyNumberFormat="1" applyFont="1" applyFill="1" applyProtection="1">
      <protection locked="0"/>
    </xf>
    <xf numFmtId="41" fontId="125" fillId="30" borderId="0" xfId="248" applyNumberFormat="1" applyFont="1" applyFill="1" applyProtection="1">
      <protection locked="0"/>
    </xf>
    <xf numFmtId="0" fontId="63" fillId="0" borderId="0" xfId="248" applyFont="1" applyAlignment="1">
      <alignment horizontal="center"/>
    </xf>
    <xf numFmtId="0" fontId="63" fillId="0" borderId="0" xfId="248" applyFont="1"/>
    <xf numFmtId="41" fontId="63" fillId="0" borderId="0" xfId="248" applyNumberFormat="1" applyFont="1"/>
    <xf numFmtId="41" fontId="125" fillId="30" borderId="11" xfId="248" applyNumberFormat="1" applyFont="1" applyFill="1" applyBorder="1" applyProtection="1">
      <protection locked="0"/>
    </xf>
    <xf numFmtId="0" fontId="63" fillId="0" borderId="0" xfId="0" applyFont="1"/>
    <xf numFmtId="173" fontId="63" fillId="0" borderId="0" xfId="86" applyNumberFormat="1" applyFont="1" applyFill="1"/>
    <xf numFmtId="173" fontId="126" fillId="0" borderId="0" xfId="86" applyNumberFormat="1" applyFont="1" applyFill="1"/>
    <xf numFmtId="38" fontId="63" fillId="0" borderId="0" xfId="0" applyNumberFormat="1" applyFont="1"/>
    <xf numFmtId="0" fontId="63" fillId="0" borderId="0" xfId="207" applyFont="1" applyAlignment="1">
      <alignment horizontal="center"/>
    </xf>
    <xf numFmtId="0" fontId="63" fillId="0" borderId="0" xfId="207" applyFont="1"/>
    <xf numFmtId="0" fontId="63" fillId="0" borderId="0" xfId="248" applyFont="1" applyAlignment="1">
      <alignment horizontal="left"/>
    </xf>
    <xf numFmtId="3" fontId="63" fillId="0" borderId="0" xfId="207" applyNumberFormat="1" applyFont="1"/>
    <xf numFmtId="38" fontId="63" fillId="0" borderId="0" xfId="0" applyNumberFormat="1" applyFont="1" applyAlignment="1">
      <alignment horizontal="center"/>
    </xf>
    <xf numFmtId="0" fontId="127" fillId="0" borderId="0" xfId="248" applyFont="1" applyAlignment="1">
      <alignment horizontal="center"/>
    </xf>
    <xf numFmtId="0" fontId="40" fillId="0" borderId="0" xfId="248" applyFont="1" applyAlignment="1">
      <alignment horizontal="center"/>
    </xf>
    <xf numFmtId="9" fontId="40" fillId="0" borderId="0" xfId="248" applyNumberFormat="1" applyFont="1" applyAlignment="1">
      <alignment horizontal="center"/>
    </xf>
    <xf numFmtId="0" fontId="40" fillId="0" borderId="0" xfId="248" applyFont="1"/>
    <xf numFmtId="0" fontId="40" fillId="0" borderId="0" xfId="248" applyFont="1" applyAlignment="1">
      <alignment horizontal="center" wrapText="1"/>
    </xf>
    <xf numFmtId="0" fontId="127" fillId="0" borderId="0" xfId="248" applyFont="1" applyAlignment="1">
      <alignment horizontal="right"/>
    </xf>
    <xf numFmtId="0" fontId="63" fillId="0" borderId="0" xfId="0" applyFont="1" applyAlignment="1">
      <alignment horizontal="center" wrapText="1"/>
    </xf>
    <xf numFmtId="0" fontId="40" fillId="0" borderId="11" xfId="248" applyFont="1" applyBorder="1" applyAlignment="1">
      <alignment horizontal="center"/>
    </xf>
    <xf numFmtId="173" fontId="154" fillId="30" borderId="0" xfId="86" applyNumberFormat="1" applyFont="1" applyFill="1"/>
    <xf numFmtId="173" fontId="12" fillId="0" borderId="30" xfId="98" applyNumberFormat="1" applyFont="1" applyFill="1" applyBorder="1" applyProtection="1"/>
    <xf numFmtId="173" fontId="12" fillId="0" borderId="20" xfId="98" applyNumberFormat="1" applyFont="1" applyFill="1" applyBorder="1" applyProtection="1"/>
    <xf numFmtId="0" fontId="12" fillId="0" borderId="0" xfId="0" applyFont="1" applyAlignment="1">
      <alignment vertical="top" wrapText="1"/>
    </xf>
    <xf numFmtId="0" fontId="9" fillId="0" borderId="0" xfId="261" applyFont="1" applyAlignment="1">
      <alignment horizontal="center"/>
    </xf>
    <xf numFmtId="43" fontId="12" fillId="0" borderId="0" xfId="113" applyFont="1" applyFill="1" applyProtection="1"/>
    <xf numFmtId="173" fontId="8" fillId="30" borderId="0" xfId="113" applyNumberFormat="1" applyFont="1" applyFill="1" applyProtection="1">
      <protection locked="0"/>
    </xf>
    <xf numFmtId="173" fontId="12" fillId="0" borderId="0" xfId="261" applyNumberFormat="1" applyFont="1"/>
    <xf numFmtId="0" fontId="130" fillId="0" borderId="0" xfId="0" applyFont="1" applyAlignment="1">
      <alignment vertical="center"/>
    </xf>
    <xf numFmtId="0" fontId="71" fillId="0" borderId="11" xfId="256" applyFont="1" applyBorder="1" applyAlignment="1">
      <alignment horizontal="center"/>
    </xf>
    <xf numFmtId="173" fontId="78" fillId="30" borderId="11" xfId="256" applyNumberFormat="1" applyFont="1" applyFill="1" applyBorder="1" applyProtection="1">
      <protection locked="0"/>
    </xf>
    <xf numFmtId="173" fontId="78" fillId="0" borderId="11" xfId="256" applyNumberFormat="1" applyFont="1" applyBorder="1"/>
    <xf numFmtId="0" fontId="71" fillId="0" borderId="11" xfId="256" applyFont="1" applyBorder="1"/>
    <xf numFmtId="0" fontId="12" fillId="0" borderId="11" xfId="256" applyFont="1" applyBorder="1"/>
    <xf numFmtId="0" fontId="18" fillId="0" borderId="11" xfId="256" applyFont="1" applyBorder="1"/>
    <xf numFmtId="173" fontId="89" fillId="0" borderId="11" xfId="256" applyNumberFormat="1" applyFont="1" applyBorder="1"/>
    <xf numFmtId="173" fontId="71" fillId="0" borderId="0" xfId="256" applyNumberFormat="1" applyFont="1" applyProtection="1">
      <protection locked="0"/>
    </xf>
    <xf numFmtId="9" fontId="78" fillId="30" borderId="0" xfId="267" applyFont="1" applyFill="1" applyBorder="1" applyProtection="1">
      <protection locked="0"/>
    </xf>
    <xf numFmtId="173" fontId="78" fillId="30" borderId="0" xfId="256" applyNumberFormat="1" applyFont="1" applyFill="1" applyAlignment="1" applyProtection="1">
      <alignment horizontal="center"/>
      <protection locked="0"/>
    </xf>
    <xf numFmtId="0" fontId="12" fillId="0" borderId="0" xfId="162"/>
    <xf numFmtId="0" fontId="12" fillId="0" borderId="0" xfId="162" applyAlignment="1">
      <alignment horizontal="center"/>
    </xf>
    <xf numFmtId="41" fontId="8" fillId="30" borderId="0" xfId="249" applyNumberFormat="1" applyFont="1" applyFill="1" applyProtection="1">
      <protection locked="0"/>
    </xf>
    <xf numFmtId="0" fontId="9" fillId="0" borderId="0" xfId="162" applyFont="1" applyAlignment="1">
      <alignment horizontal="left"/>
    </xf>
    <xf numFmtId="3" fontId="12" fillId="0" borderId="0" xfId="162" applyNumberFormat="1"/>
    <xf numFmtId="0" fontId="13" fillId="0" borderId="0" xfId="162" applyFont="1" applyAlignment="1">
      <alignment horizontal="center"/>
    </xf>
    <xf numFmtId="3" fontId="12" fillId="0" borderId="0" xfId="162" applyNumberFormat="1" applyAlignment="1">
      <alignment horizontal="centerContinuous"/>
    </xf>
    <xf numFmtId="3" fontId="13" fillId="0" borderId="0" xfId="162" applyNumberFormat="1" applyFont="1" applyAlignment="1">
      <alignment horizontal="centerContinuous"/>
    </xf>
    <xf numFmtId="3" fontId="12" fillId="0" borderId="38" xfId="162" applyNumberFormat="1" applyBorder="1"/>
    <xf numFmtId="3" fontId="12" fillId="0" borderId="0" xfId="162" applyNumberFormat="1" applyAlignment="1">
      <alignment horizontal="left"/>
    </xf>
    <xf numFmtId="37" fontId="12" fillId="0" borderId="0" xfId="162" applyNumberFormat="1"/>
    <xf numFmtId="37" fontId="12" fillId="0" borderId="0" xfId="162" applyNumberFormat="1" applyAlignment="1">
      <alignment horizontal="center"/>
    </xf>
    <xf numFmtId="37" fontId="12" fillId="0" borderId="38" xfId="162" applyNumberFormat="1" applyBorder="1"/>
    <xf numFmtId="37" fontId="12" fillId="0" borderId="39" xfId="162" applyNumberFormat="1" applyBorder="1"/>
    <xf numFmtId="37" fontId="12" fillId="33" borderId="0" xfId="162" applyNumberFormat="1" applyFill="1"/>
    <xf numFmtId="37" fontId="12" fillId="0" borderId="40" xfId="162" applyNumberFormat="1" applyBorder="1"/>
    <xf numFmtId="3" fontId="12" fillId="0" borderId="0" xfId="162" applyNumberFormat="1" applyAlignment="1" applyProtection="1">
      <alignment horizontal="center"/>
      <protection locked="0"/>
    </xf>
    <xf numFmtId="3" fontId="12" fillId="0" borderId="0" xfId="162" applyNumberFormat="1" applyAlignment="1">
      <alignment horizontal="center"/>
    </xf>
    <xf numFmtId="3" fontId="12" fillId="0" borderId="0" xfId="162" applyNumberFormat="1" applyProtection="1">
      <protection locked="0"/>
    </xf>
    <xf numFmtId="0" fontId="12" fillId="0" borderId="0" xfId="162" applyAlignment="1">
      <alignment horizontal="left"/>
    </xf>
    <xf numFmtId="37" fontId="12" fillId="0" borderId="14" xfId="162" applyNumberFormat="1" applyBorder="1"/>
    <xf numFmtId="37" fontId="155" fillId="0" borderId="39" xfId="162" applyNumberFormat="1" applyFont="1" applyBorder="1"/>
    <xf numFmtId="37" fontId="155" fillId="0" borderId="0" xfId="162" applyNumberFormat="1" applyFont="1"/>
    <xf numFmtId="4" fontId="12" fillId="0" borderId="0" xfId="162" applyNumberFormat="1" applyAlignment="1">
      <alignment horizontal="center"/>
    </xf>
    <xf numFmtId="196" fontId="8" fillId="30" borderId="0" xfId="249" applyNumberFormat="1" applyFont="1" applyFill="1" applyProtection="1">
      <protection locked="0"/>
    </xf>
    <xf numFmtId="0" fontId="152" fillId="0" borderId="0" xfId="162" applyFont="1" applyAlignment="1">
      <alignment horizontal="left"/>
    </xf>
    <xf numFmtId="3" fontId="12" fillId="34" borderId="0" xfId="162" applyNumberFormat="1" applyFill="1"/>
    <xf numFmtId="0" fontId="12" fillId="34" borderId="0" xfId="162" applyFill="1"/>
    <xf numFmtId="3" fontId="12" fillId="34" borderId="0" xfId="162" applyNumberFormat="1" applyFill="1" applyAlignment="1" applyProtection="1">
      <alignment horizontal="center"/>
      <protection locked="0"/>
    </xf>
    <xf numFmtId="0" fontId="12" fillId="34" borderId="0" xfId="162" applyFill="1" applyAlignment="1">
      <alignment horizontal="center"/>
    </xf>
    <xf numFmtId="0" fontId="13" fillId="34" borderId="0" xfId="162" applyFont="1" applyFill="1" applyAlignment="1">
      <alignment horizontal="center"/>
    </xf>
    <xf numFmtId="41" fontId="8" fillId="30" borderId="0" xfId="250" applyNumberFormat="1" applyFont="1" applyFill="1"/>
    <xf numFmtId="3" fontId="9" fillId="0" borderId="0" xfId="162" applyNumberFormat="1" applyFont="1" applyAlignment="1">
      <alignment horizontal="left"/>
    </xf>
    <xf numFmtId="196" fontId="8" fillId="30" borderId="0" xfId="250" applyNumberFormat="1" applyFont="1" applyFill="1" applyProtection="1">
      <protection locked="0"/>
    </xf>
    <xf numFmtId="0" fontId="18" fillId="0" borderId="11" xfId="256" applyFont="1" applyBorder="1" applyAlignment="1">
      <alignment horizontal="center"/>
    </xf>
    <xf numFmtId="173" fontId="71" fillId="0" borderId="11" xfId="256" applyNumberFormat="1" applyFont="1" applyBorder="1"/>
    <xf numFmtId="0" fontId="12" fillId="0" borderId="0" xfId="0" applyFont="1" applyAlignment="1">
      <alignment horizontal="right"/>
    </xf>
    <xf numFmtId="0" fontId="9" fillId="0" borderId="0" xfId="259" applyFont="1" applyAlignment="1">
      <alignment horizontal="centerContinuous"/>
    </xf>
    <xf numFmtId="0" fontId="12" fillId="0" borderId="0" xfId="259" applyAlignment="1">
      <alignment horizontal="left"/>
    </xf>
    <xf numFmtId="0" fontId="9" fillId="0" borderId="0" xfId="259" applyFont="1" applyAlignment="1">
      <alignment horizontal="center"/>
    </xf>
    <xf numFmtId="0" fontId="9" fillId="0" borderId="0" xfId="259" applyFont="1" applyAlignment="1">
      <alignment wrapText="1"/>
    </xf>
    <xf numFmtId="0" fontId="12" fillId="0" borderId="32" xfId="0" applyFont="1" applyBorder="1" applyAlignment="1">
      <alignment horizontal="center" wrapText="1"/>
    </xf>
    <xf numFmtId="0" fontId="9" fillId="0" borderId="33" xfId="259" applyFont="1" applyBorder="1" applyAlignment="1">
      <alignment horizontal="center" wrapText="1"/>
    </xf>
    <xf numFmtId="0" fontId="9" fillId="0" borderId="0" xfId="259" applyFont="1" applyAlignment="1">
      <alignment horizontal="center" wrapText="1"/>
    </xf>
    <xf numFmtId="0" fontId="12" fillId="0" borderId="34" xfId="0" applyFont="1" applyBorder="1" applyAlignment="1">
      <alignment horizontal="center"/>
    </xf>
    <xf numFmtId="0" fontId="9" fillId="0" borderId="35" xfId="259" applyFont="1" applyBorder="1" applyAlignment="1">
      <alignment horizontal="center"/>
    </xf>
    <xf numFmtId="0" fontId="132" fillId="0" borderId="0" xfId="0" applyFont="1"/>
    <xf numFmtId="3" fontId="24" fillId="0" borderId="11" xfId="207" applyNumberFormat="1" applyFont="1" applyBorder="1" applyAlignment="1">
      <alignment horizontal="center" wrapText="1"/>
    </xf>
    <xf numFmtId="0" fontId="12" fillId="0" borderId="35" xfId="259" quotePrefix="1" applyBorder="1" applyAlignment="1">
      <alignment horizontal="left"/>
    </xf>
    <xf numFmtId="173" fontId="8" fillId="26" borderId="0" xfId="108" applyNumberFormat="1" applyFont="1" applyFill="1" applyAlignment="1" applyProtection="1">
      <protection locked="0"/>
    </xf>
    <xf numFmtId="0" fontId="12" fillId="0" borderId="35" xfId="259" applyBorder="1"/>
    <xf numFmtId="0" fontId="12" fillId="0" borderId="36" xfId="0" applyFont="1" applyBorder="1" applyAlignment="1">
      <alignment horizontal="center"/>
    </xf>
    <xf numFmtId="0" fontId="12" fillId="0" borderId="37" xfId="259" applyBorder="1"/>
    <xf numFmtId="0" fontId="12" fillId="0" borderId="37" xfId="259" applyBorder="1" applyAlignment="1">
      <alignment horizontal="right"/>
    </xf>
    <xf numFmtId="173" fontId="12" fillId="0" borderId="14" xfId="88" applyNumberFormat="1" applyFont="1" applyBorder="1"/>
    <xf numFmtId="0" fontId="12" fillId="0" borderId="0" xfId="259"/>
    <xf numFmtId="37" fontId="12" fillId="0" borderId="0" xfId="259" applyNumberFormat="1"/>
    <xf numFmtId="172" fontId="12" fillId="0" borderId="0" xfId="252" applyFont="1"/>
    <xf numFmtId="0" fontId="12" fillId="0" borderId="16" xfId="0" applyFont="1" applyBorder="1" applyAlignment="1">
      <alignment horizontal="center"/>
    </xf>
    <xf numFmtId="0" fontId="12" fillId="0" borderId="42" xfId="259" applyBorder="1" applyAlignment="1">
      <alignment horizontal="right"/>
    </xf>
    <xf numFmtId="0" fontId="12" fillId="0" borderId="32" xfId="0" applyFont="1" applyBorder="1" applyAlignment="1">
      <alignment horizontal="center"/>
    </xf>
    <xf numFmtId="0" fontId="9" fillId="0" borderId="2" xfId="259" applyFont="1" applyBorder="1" applyAlignment="1">
      <alignment horizontal="centerContinuous" wrapText="1"/>
    </xf>
    <xf numFmtId="0" fontId="12" fillId="0" borderId="32" xfId="0" applyFont="1" applyBorder="1"/>
    <xf numFmtId="0" fontId="12" fillId="0" borderId="2" xfId="0" applyFont="1" applyBorder="1"/>
    <xf numFmtId="0" fontId="12" fillId="0" borderId="34" xfId="0" applyFont="1" applyBorder="1" applyAlignment="1">
      <alignment horizontal="center" wrapText="1"/>
    </xf>
    <xf numFmtId="0" fontId="9" fillId="0" borderId="34" xfId="259" applyFont="1" applyBorder="1" applyAlignment="1">
      <alignment horizontal="center" wrapText="1"/>
    </xf>
    <xf numFmtId="0" fontId="9" fillId="0" borderId="34" xfId="259" applyFont="1" applyBorder="1" applyAlignment="1">
      <alignment horizontal="center"/>
    </xf>
    <xf numFmtId="3" fontId="12" fillId="0" borderId="36" xfId="207" applyNumberFormat="1" applyBorder="1" applyAlignment="1">
      <alignment horizontal="center" wrapText="1"/>
    </xf>
    <xf numFmtId="3" fontId="12" fillId="0" borderId="11" xfId="207" applyNumberFormat="1" applyBorder="1" applyAlignment="1">
      <alignment horizontal="center" wrapText="1"/>
    </xf>
    <xf numFmtId="0" fontId="12" fillId="0" borderId="0" xfId="259" quotePrefix="1" applyAlignment="1">
      <alignment horizontal="left"/>
    </xf>
    <xf numFmtId="173" fontId="8" fillId="26" borderId="34" xfId="108" applyNumberFormat="1" applyFont="1" applyFill="1" applyBorder="1" applyAlignment="1" applyProtection="1">
      <protection locked="0"/>
    </xf>
    <xf numFmtId="0" fontId="12" fillId="0" borderId="11" xfId="259" applyBorder="1"/>
    <xf numFmtId="173" fontId="8" fillId="26" borderId="36" xfId="108" applyNumberFormat="1" applyFont="1" applyFill="1" applyBorder="1" applyAlignment="1" applyProtection="1">
      <protection locked="0"/>
    </xf>
    <xf numFmtId="0" fontId="12" fillId="0" borderId="14" xfId="0" applyFont="1" applyBorder="1" applyAlignment="1">
      <alignment horizontal="center"/>
    </xf>
    <xf numFmtId="173" fontId="12" fillId="0" borderId="43" xfId="88" applyNumberFormat="1" applyFont="1" applyBorder="1"/>
    <xf numFmtId="0" fontId="132" fillId="0" borderId="0" xfId="0" applyFont="1" applyAlignment="1">
      <alignment horizontal="center"/>
    </xf>
    <xf numFmtId="0" fontId="17" fillId="0" borderId="0" xfId="207" applyFont="1" applyAlignment="1">
      <alignment horizontal="left" vertical="center"/>
    </xf>
    <xf numFmtId="0" fontId="17" fillId="0" borderId="0" xfId="207" applyFont="1" applyAlignment="1">
      <alignment horizontal="center" vertical="center"/>
    </xf>
    <xf numFmtId="0" fontId="17" fillId="0" borderId="0" xfId="248" applyFont="1" applyAlignment="1">
      <alignment horizontal="center" vertical="center" wrapText="1"/>
    </xf>
    <xf numFmtId="0" fontId="17" fillId="0" borderId="0" xfId="207" quotePrefix="1" applyFont="1" applyAlignment="1">
      <alignment horizontal="center" vertical="center" wrapText="1"/>
    </xf>
    <xf numFmtId="0" fontId="17" fillId="0" borderId="0" xfId="207" applyFont="1" applyAlignment="1">
      <alignment horizontal="left"/>
    </xf>
    <xf numFmtId="173" fontId="0" fillId="0" borderId="0" xfId="108" applyNumberFormat="1" applyFont="1" applyFill="1"/>
    <xf numFmtId="3" fontId="12" fillId="0" borderId="0" xfId="207" applyNumberFormat="1" applyAlignment="1">
      <alignment horizontal="right"/>
    </xf>
    <xf numFmtId="3" fontId="12" fillId="32" borderId="0" xfId="207" applyNumberFormat="1" applyFill="1"/>
    <xf numFmtId="173" fontId="8" fillId="30" borderId="11" xfId="89" applyNumberFormat="1" applyFont="1" applyFill="1" applyBorder="1" applyAlignment="1" applyProtection="1">
      <alignment horizontal="right"/>
      <protection locked="0"/>
    </xf>
    <xf numFmtId="173" fontId="0" fillId="0" borderId="11" xfId="108" applyNumberFormat="1" applyFont="1" applyFill="1" applyBorder="1"/>
    <xf numFmtId="173" fontId="12" fillId="0" borderId="0" xfId="207" applyNumberFormat="1"/>
    <xf numFmtId="0" fontId="81" fillId="0" borderId="0" xfId="207" applyFont="1" applyAlignment="1">
      <alignment horizontal="center"/>
    </xf>
    <xf numFmtId="173" fontId="63" fillId="0" borderId="0" xfId="108" applyNumberFormat="1" applyFont="1" applyFill="1" applyAlignment="1" applyProtection="1">
      <alignment horizontal="left"/>
      <protection locked="0"/>
    </xf>
    <xf numFmtId="173" fontId="63" fillId="0" borderId="11" xfId="108" applyNumberFormat="1" applyFont="1" applyFill="1" applyBorder="1" applyAlignment="1" applyProtection="1">
      <alignment horizontal="left"/>
      <protection locked="0"/>
    </xf>
    <xf numFmtId="0" fontId="15" fillId="0" borderId="0" xfId="162" applyFont="1"/>
    <xf numFmtId="0" fontId="15" fillId="0" borderId="0" xfId="162" applyFont="1" applyAlignment="1">
      <alignment horizontal="center"/>
    </xf>
    <xf numFmtId="0" fontId="15" fillId="0" borderId="0" xfId="162" applyFont="1" applyAlignment="1">
      <alignment horizontal="right"/>
    </xf>
    <xf numFmtId="0" fontId="91" fillId="0" borderId="0" xfId="259" applyFont="1" applyAlignment="1">
      <alignment horizontal="centerContinuous"/>
    </xf>
    <xf numFmtId="0" fontId="15" fillId="0" borderId="0" xfId="259" applyFont="1" applyAlignment="1">
      <alignment horizontal="left"/>
    </xf>
    <xf numFmtId="0" fontId="91" fillId="0" borderId="0" xfId="259" applyFont="1" applyAlignment="1">
      <alignment horizontal="center"/>
    </xf>
    <xf numFmtId="0" fontId="12" fillId="0" borderId="32" xfId="162" applyBorder="1" applyAlignment="1">
      <alignment horizontal="center" wrapText="1"/>
    </xf>
    <xf numFmtId="0" fontId="9" fillId="0" borderId="44" xfId="259" applyFont="1" applyBorder="1" applyAlignment="1">
      <alignment horizontal="center" wrapText="1"/>
    </xf>
    <xf numFmtId="0" fontId="15" fillId="0" borderId="0" xfId="162" applyFont="1" applyAlignment="1">
      <alignment wrapText="1"/>
    </xf>
    <xf numFmtId="0" fontId="12" fillId="0" borderId="34" xfId="162" applyBorder="1" applyAlignment="1">
      <alignment horizontal="center"/>
    </xf>
    <xf numFmtId="0" fontId="9" fillId="0" borderId="10" xfId="259" applyFont="1" applyBorder="1" applyAlignment="1">
      <alignment horizontal="center"/>
    </xf>
    <xf numFmtId="0" fontId="134" fillId="0" borderId="0" xfId="162" applyFont="1"/>
    <xf numFmtId="3" fontId="24" fillId="0" borderId="36" xfId="207" applyNumberFormat="1" applyFont="1" applyBorder="1" applyAlignment="1">
      <alignment horizontal="center" wrapText="1"/>
    </xf>
    <xf numFmtId="3" fontId="24" fillId="0" borderId="45" xfId="207" applyNumberFormat="1" applyFont="1" applyBorder="1" applyAlignment="1">
      <alignment wrapText="1"/>
    </xf>
    <xf numFmtId="173" fontId="8" fillId="26" borderId="0" xfId="107" applyNumberFormat="1" applyFont="1" applyFill="1" applyAlignment="1" applyProtection="1">
      <protection locked="0"/>
    </xf>
    <xf numFmtId="41" fontId="12" fillId="0" borderId="10" xfId="259" applyNumberFormat="1" applyBorder="1"/>
    <xf numFmtId="0" fontId="12" fillId="0" borderId="36" xfId="162" applyBorder="1" applyAlignment="1">
      <alignment horizontal="center"/>
    </xf>
    <xf numFmtId="173" fontId="12" fillId="0" borderId="46" xfId="88" applyNumberFormat="1" applyFont="1" applyBorder="1"/>
    <xf numFmtId="3" fontId="24" fillId="0" borderId="45" xfId="207" applyNumberFormat="1" applyFont="1" applyBorder="1" applyAlignment="1">
      <alignment horizontal="center" wrapText="1"/>
    </xf>
    <xf numFmtId="173" fontId="8" fillId="30" borderId="0" xfId="88" applyNumberFormat="1" applyFont="1" applyFill="1" applyBorder="1" applyProtection="1">
      <protection locked="0"/>
    </xf>
    <xf numFmtId="0" fontId="12" fillId="0" borderId="16" xfId="162" applyBorder="1" applyAlignment="1">
      <alignment horizontal="center"/>
    </xf>
    <xf numFmtId="0" fontId="15" fillId="0" borderId="0" xfId="259" applyFont="1"/>
    <xf numFmtId="37" fontId="15" fillId="0" borderId="0" xfId="259" applyNumberFormat="1" applyFont="1"/>
    <xf numFmtId="172" fontId="15" fillId="0" borderId="0" xfId="252" applyFont="1"/>
    <xf numFmtId="0" fontId="12" fillId="0" borderId="0" xfId="249" applyAlignment="1">
      <alignment vertical="top"/>
    </xf>
    <xf numFmtId="0" fontId="12" fillId="0" borderId="0" xfId="162" applyAlignment="1">
      <alignment vertical="top" wrapText="1"/>
    </xf>
    <xf numFmtId="0" fontId="134" fillId="0" borderId="0" xfId="162" applyFont="1" applyAlignment="1">
      <alignment horizontal="center"/>
    </xf>
    <xf numFmtId="0" fontId="90" fillId="0" borderId="0" xfId="250" applyFont="1"/>
    <xf numFmtId="0" fontId="91" fillId="0" borderId="0" xfId="162" applyFont="1" applyAlignment="1">
      <alignment horizontal="center"/>
    </xf>
    <xf numFmtId="0" fontId="91" fillId="0" borderId="0" xfId="162" quotePrefix="1" applyFont="1" applyAlignment="1">
      <alignment horizontal="center"/>
    </xf>
    <xf numFmtId="0" fontId="9" fillId="0" borderId="0" xfId="250" applyFont="1" applyAlignment="1">
      <alignment horizontal="left"/>
    </xf>
    <xf numFmtId="173" fontId="12" fillId="0" borderId="0" xfId="88" applyNumberFormat="1" applyFont="1" applyFill="1" applyProtection="1"/>
    <xf numFmtId="0" fontId="12" fillId="0" borderId="0" xfId="250"/>
    <xf numFmtId="0" fontId="12" fillId="0" borderId="0" xfId="181"/>
    <xf numFmtId="0" fontId="12" fillId="0" borderId="0" xfId="250" applyAlignment="1">
      <alignment horizontal="left"/>
    </xf>
    <xf numFmtId="173" fontId="8" fillId="30" borderId="0" xfId="88" applyNumberFormat="1" applyFont="1" applyFill="1" applyProtection="1">
      <protection locked="0"/>
    </xf>
    <xf numFmtId="10" fontId="12" fillId="0" borderId="0" xfId="268" applyNumberFormat="1" applyFont="1" applyFill="1" applyBorder="1" applyProtection="1"/>
    <xf numFmtId="173" fontId="8" fillId="26" borderId="6" xfId="88" applyNumberFormat="1" applyFont="1" applyFill="1" applyBorder="1" applyAlignment="1" applyProtection="1">
      <protection locked="0"/>
    </xf>
    <xf numFmtId="10" fontId="9" fillId="0" borderId="0" xfId="268" applyNumberFormat="1" applyFont="1" applyFill="1" applyBorder="1" applyProtection="1"/>
    <xf numFmtId="0" fontId="9" fillId="0" borderId="0" xfId="250" applyFont="1"/>
    <xf numFmtId="173" fontId="9" fillId="0" borderId="0" xfId="268" applyNumberFormat="1" applyFont="1" applyFill="1" applyBorder="1" applyProtection="1"/>
    <xf numFmtId="173" fontId="12" fillId="0" borderId="0" xfId="268" applyNumberFormat="1" applyFont="1" applyFill="1" applyBorder="1" applyProtection="1"/>
    <xf numFmtId="10" fontId="9" fillId="0" borderId="18" xfId="268" applyNumberFormat="1" applyFont="1" applyFill="1" applyBorder="1" applyProtection="1"/>
    <xf numFmtId="0" fontId="100" fillId="0" borderId="0" xfId="181" applyFont="1" applyAlignment="1">
      <alignment horizontal="center"/>
    </xf>
    <xf numFmtId="0" fontId="12" fillId="0" borderId="0" xfId="255" applyNumberFormat="1" applyFont="1" applyAlignment="1" applyProtection="1">
      <alignment horizontal="center" vertical="center"/>
    </xf>
    <xf numFmtId="0" fontId="135" fillId="0" borderId="0" xfId="181" applyFont="1"/>
    <xf numFmtId="0" fontId="12" fillId="0" borderId="0" xfId="255" applyNumberFormat="1" applyFont="1" applyAlignment="1" applyProtection="1">
      <alignment horizontal="center" vertical="top"/>
    </xf>
    <xf numFmtId="0" fontId="63" fillId="0" borderId="0" xfId="181" applyFont="1" applyAlignment="1">
      <alignment vertical="top" wrapText="1"/>
    </xf>
    <xf numFmtId="0" fontId="9" fillId="0" borderId="0" xfId="255" applyNumberFormat="1" applyFont="1" applyAlignment="1" applyProtection="1">
      <alignment horizontal="center" vertical="center"/>
    </xf>
    <xf numFmtId="0" fontId="22" fillId="0" borderId="0" xfId="181" applyFont="1"/>
    <xf numFmtId="41" fontId="9" fillId="0" borderId="0" xfId="250" applyNumberFormat="1" applyFont="1" applyAlignment="1">
      <alignment horizontal="center" wrapText="1"/>
    </xf>
    <xf numFmtId="0" fontId="9" fillId="0" borderId="0" xfId="250" applyFont="1" applyAlignment="1">
      <alignment horizontal="center" wrapText="1"/>
    </xf>
    <xf numFmtId="0" fontId="8" fillId="26" borderId="0" xfId="250" applyFont="1" applyFill="1" applyProtection="1">
      <protection locked="0"/>
    </xf>
    <xf numFmtId="173" fontId="136" fillId="26" borderId="0" xfId="88" applyNumberFormat="1" applyFont="1" applyFill="1" applyProtection="1">
      <protection locked="0"/>
    </xf>
    <xf numFmtId="197" fontId="12" fillId="0" borderId="0" xfId="257" applyNumberFormat="1" applyAlignment="1" applyProtection="1">
      <alignment horizontal="center"/>
      <protection locked="0"/>
    </xf>
    <xf numFmtId="37" fontId="8" fillId="26" borderId="0" xfId="250" applyNumberFormat="1" applyFont="1" applyFill="1" applyProtection="1">
      <protection locked="0"/>
    </xf>
    <xf numFmtId="0" fontId="136" fillId="26" borderId="0" xfId="250" applyFont="1" applyFill="1" applyProtection="1">
      <protection locked="0"/>
    </xf>
    <xf numFmtId="198" fontId="12" fillId="0" borderId="0" xfId="257" applyNumberFormat="1" applyAlignment="1" applyProtection="1">
      <alignment horizontal="center"/>
      <protection locked="0"/>
    </xf>
    <xf numFmtId="14" fontId="12" fillId="0" borderId="0" xfId="257" applyNumberFormat="1" applyAlignment="1" applyProtection="1">
      <alignment horizontal="center"/>
      <protection locked="0"/>
    </xf>
    <xf numFmtId="0" fontId="12" fillId="0" borderId="11" xfId="181" applyBorder="1"/>
    <xf numFmtId="0" fontId="15" fillId="0" borderId="11" xfId="250" applyFont="1" applyBorder="1"/>
    <xf numFmtId="0" fontId="9" fillId="0" borderId="2" xfId="250" applyFont="1" applyBorder="1" applyAlignment="1">
      <alignment horizontal="left"/>
    </xf>
    <xf numFmtId="173" fontId="12" fillId="0" borderId="2" xfId="268" applyNumberFormat="1" applyFont="1" applyFill="1" applyBorder="1" applyProtection="1"/>
    <xf numFmtId="173" fontId="9" fillId="0" borderId="0" xfId="88" applyNumberFormat="1" applyFont="1" applyFill="1" applyBorder="1" applyProtection="1"/>
    <xf numFmtId="0" fontId="90" fillId="0" borderId="0" xfId="250" applyFont="1" applyAlignment="1">
      <alignment horizontal="left"/>
    </xf>
    <xf numFmtId="0" fontId="12" fillId="0" borderId="0" xfId="255" applyNumberFormat="1" applyFont="1" applyAlignment="1" applyProtection="1">
      <alignment horizontal="center" wrapText="1"/>
    </xf>
    <xf numFmtId="173" fontId="15" fillId="0" borderId="0" xfId="162" applyNumberFormat="1" applyFont="1"/>
    <xf numFmtId="0" fontId="15" fillId="0" borderId="2" xfId="162" applyFont="1" applyBorder="1"/>
    <xf numFmtId="188" fontId="5" fillId="0" borderId="0" xfId="255" applyNumberFormat="1" applyFont="1" applyAlignment="1" applyProtection="1">
      <alignment horizontal="center"/>
    </xf>
    <xf numFmtId="41" fontId="5" fillId="0" borderId="11" xfId="255" applyNumberFormat="1" applyFont="1" applyBorder="1" applyProtection="1"/>
    <xf numFmtId="0" fontId="5" fillId="0" borderId="0" xfId="162" applyFont="1" applyAlignment="1">
      <alignment horizontal="center"/>
    </xf>
    <xf numFmtId="0" fontId="63" fillId="0" borderId="0" xfId="162" applyFont="1"/>
    <xf numFmtId="0" fontId="5" fillId="0" borderId="0" xfId="162" applyFont="1"/>
    <xf numFmtId="173" fontId="5" fillId="32" borderId="0" xfId="86" applyNumberFormat="1" applyFont="1" applyFill="1" applyAlignment="1" applyProtection="1">
      <alignment horizontal="right"/>
    </xf>
    <xf numFmtId="179" fontId="5" fillId="0" borderId="0" xfId="255" applyNumberFormat="1" applyFont="1" applyAlignment="1" applyProtection="1">
      <alignment horizontal="center"/>
    </xf>
    <xf numFmtId="0" fontId="12" fillId="0" borderId="0" xfId="0" applyFont="1" applyAlignment="1">
      <alignment horizontal="left"/>
    </xf>
    <xf numFmtId="0" fontId="13" fillId="0" borderId="0" xfId="0" applyFont="1" applyAlignment="1">
      <alignment horizontal="left"/>
    </xf>
    <xf numFmtId="0" fontId="9" fillId="0" borderId="0" xfId="261" applyFont="1"/>
    <xf numFmtId="0" fontId="12" fillId="0" borderId="0" xfId="261" applyFont="1"/>
    <xf numFmtId="0" fontId="12" fillId="0" borderId="0" xfId="0" applyFont="1" applyAlignment="1">
      <alignment vertical="top"/>
    </xf>
    <xf numFmtId="41" fontId="19" fillId="0" borderId="0" xfId="248" applyNumberFormat="1" applyFont="1" applyProtection="1">
      <protection locked="0"/>
    </xf>
    <xf numFmtId="0" fontId="6" fillId="0" borderId="0" xfId="248" applyFont="1"/>
    <xf numFmtId="0" fontId="73" fillId="0" borderId="0" xfId="256" applyFont="1" applyAlignment="1">
      <alignment wrapText="1"/>
    </xf>
    <xf numFmtId="0" fontId="6" fillId="0" borderId="0" xfId="249" applyFont="1" applyAlignment="1">
      <alignment horizontal="center"/>
    </xf>
    <xf numFmtId="0" fontId="6" fillId="0" borderId="0" xfId="249" quotePrefix="1" applyFont="1" applyAlignment="1">
      <alignment horizontal="center"/>
    </xf>
    <xf numFmtId="0" fontId="6" fillId="0" borderId="0" xfId="249" applyFont="1" applyAlignment="1">
      <alignment horizontal="left" vertical="center" wrapText="1"/>
    </xf>
    <xf numFmtId="0" fontId="6" fillId="0" borderId="0" xfId="249" applyFont="1" applyAlignment="1">
      <alignment horizontal="center" vertical="center" wrapText="1"/>
    </xf>
    <xf numFmtId="0" fontId="6" fillId="0" borderId="0" xfId="249" quotePrefix="1" applyFont="1" applyAlignment="1">
      <alignment horizontal="center" vertical="center" wrapText="1"/>
    </xf>
    <xf numFmtId="0" fontId="12" fillId="0" borderId="0" xfId="251" applyAlignment="1">
      <alignment horizontal="left"/>
    </xf>
    <xf numFmtId="0" fontId="138" fillId="0" borderId="0" xfId="0" applyFont="1" applyAlignment="1">
      <alignment vertical="center"/>
    </xf>
    <xf numFmtId="0" fontId="139" fillId="0" borderId="0" xfId="207" applyFont="1"/>
    <xf numFmtId="0" fontId="140" fillId="0" borderId="0" xfId="207" applyFont="1" applyAlignment="1">
      <alignment horizontal="center"/>
    </xf>
    <xf numFmtId="3" fontId="141" fillId="0" borderId="0" xfId="207" applyNumberFormat="1" applyFont="1" applyAlignment="1">
      <alignment horizontal="center"/>
    </xf>
    <xf numFmtId="0" fontId="139" fillId="0" borderId="0" xfId="0" applyFont="1"/>
    <xf numFmtId="0" fontId="142" fillId="0" borderId="0" xfId="207" applyFont="1"/>
    <xf numFmtId="0" fontId="141" fillId="0" borderId="0" xfId="207" applyFont="1" applyAlignment="1">
      <alignment horizontal="center"/>
    </xf>
    <xf numFmtId="0" fontId="140" fillId="0" borderId="0" xfId="206" applyFont="1"/>
    <xf numFmtId="0" fontId="140" fillId="0" borderId="0" xfId="207" applyFont="1"/>
    <xf numFmtId="0" fontId="143" fillId="0" borderId="0" xfId="207" applyFont="1" applyAlignment="1">
      <alignment horizontal="left"/>
    </xf>
    <xf numFmtId="0" fontId="143" fillId="0" borderId="0" xfId="207" applyFont="1"/>
    <xf numFmtId="3" fontId="140" fillId="0" borderId="0" xfId="207" applyNumberFormat="1" applyFont="1"/>
    <xf numFmtId="1" fontId="144" fillId="0" borderId="0" xfId="207" applyNumberFormat="1" applyFont="1" applyAlignment="1">
      <alignment horizontal="center"/>
    </xf>
    <xf numFmtId="172" fontId="140" fillId="0" borderId="0" xfId="254" applyFont="1" applyProtection="1"/>
    <xf numFmtId="6" fontId="139" fillId="0" borderId="0" xfId="207" applyNumberFormat="1" applyFont="1"/>
    <xf numFmtId="0" fontId="145" fillId="0" borderId="0" xfId="207" applyFont="1"/>
    <xf numFmtId="0" fontId="140" fillId="0" borderId="0" xfId="0" applyFont="1"/>
    <xf numFmtId="0" fontId="140" fillId="0" borderId="6" xfId="207" applyFont="1" applyBorder="1" applyAlignment="1">
      <alignment horizontal="center"/>
    </xf>
    <xf numFmtId="0" fontId="140" fillId="0" borderId="6" xfId="0" applyFont="1" applyBorder="1"/>
    <xf numFmtId="172" fontId="140" fillId="0" borderId="6" xfId="254" applyFont="1" applyBorder="1" applyProtection="1"/>
    <xf numFmtId="170" fontId="140" fillId="0" borderId="0" xfId="0" applyNumberFormat="1" applyFont="1"/>
    <xf numFmtId="170" fontId="140" fillId="0" borderId="0" xfId="207" applyNumberFormat="1" applyFont="1"/>
    <xf numFmtId="0" fontId="5" fillId="0" borderId="0" xfId="255" applyNumberFormat="1" applyFont="1" applyAlignment="1" applyProtection="1">
      <alignment horizontal="left" indent="2"/>
    </xf>
    <xf numFmtId="173" fontId="8" fillId="30" borderId="0" xfId="108" applyNumberFormat="1" applyFont="1" applyFill="1" applyAlignment="1" applyProtection="1">
      <protection locked="0"/>
    </xf>
    <xf numFmtId="173" fontId="8" fillId="30" borderId="34" xfId="108" applyNumberFormat="1" applyFont="1" applyFill="1" applyBorder="1" applyAlignment="1" applyProtection="1">
      <protection locked="0"/>
    </xf>
    <xf numFmtId="173" fontId="8" fillId="30" borderId="0" xfId="107" applyNumberFormat="1" applyFont="1" applyFill="1" applyAlignment="1" applyProtection="1">
      <protection locked="0"/>
    </xf>
    <xf numFmtId="43" fontId="12" fillId="30" borderId="0" xfId="86" applyFont="1" applyFill="1" applyBorder="1" applyProtection="1">
      <protection locked="0"/>
    </xf>
    <xf numFmtId="43" fontId="8" fillId="30" borderId="0" xfId="86" applyFont="1" applyFill="1" applyBorder="1" applyAlignment="1" applyProtection="1">
      <alignment horizontal="right"/>
      <protection locked="0"/>
    </xf>
    <xf numFmtId="43" fontId="8" fillId="30" borderId="11" xfId="86" applyFont="1" applyFill="1" applyBorder="1" applyAlignment="1" applyProtection="1">
      <alignment horizontal="right"/>
      <protection locked="0"/>
    </xf>
    <xf numFmtId="43" fontId="8" fillId="30" borderId="0" xfId="86" applyFont="1" applyFill="1" applyBorder="1" applyAlignment="1" applyProtection="1">
      <alignment horizontal="left"/>
      <protection locked="0"/>
    </xf>
    <xf numFmtId="43" fontId="8" fillId="30" borderId="0" xfId="86" applyFont="1" applyFill="1" applyBorder="1" applyAlignment="1" applyProtection="1">
      <alignment horizontal="center"/>
      <protection locked="0"/>
    </xf>
    <xf numFmtId="0" fontId="123" fillId="0" borderId="29" xfId="0" applyFont="1" applyBorder="1" applyAlignment="1">
      <alignment horizontal="center" wrapText="1"/>
    </xf>
    <xf numFmtId="0" fontId="6" fillId="0" borderId="0" xfId="207" quotePrefix="1" applyFont="1" applyAlignment="1">
      <alignment horizontal="center" wrapText="1"/>
    </xf>
    <xf numFmtId="0" fontId="13" fillId="0" borderId="0" xfId="0" applyFont="1" applyAlignment="1">
      <alignment wrapText="1"/>
    </xf>
    <xf numFmtId="170" fontId="146" fillId="0" borderId="0" xfId="0" applyNumberFormat="1" applyFont="1" applyAlignment="1">
      <alignment horizontal="right"/>
    </xf>
    <xf numFmtId="170" fontId="146" fillId="0" borderId="0" xfId="0" applyNumberFormat="1" applyFont="1" applyAlignment="1">
      <alignment horizontal="center"/>
    </xf>
    <xf numFmtId="0" fontId="122" fillId="0" borderId="0" xfId="0" applyFont="1" applyAlignment="1">
      <alignment wrapText="1"/>
    </xf>
    <xf numFmtId="10" fontId="5" fillId="0" borderId="18" xfId="255" applyNumberFormat="1" applyFont="1" applyBorder="1" applyProtection="1"/>
    <xf numFmtId="10" fontId="5" fillId="0" borderId="0" xfId="268" applyNumberFormat="1" applyFont="1" applyFill="1" applyAlignment="1" applyProtection="1"/>
    <xf numFmtId="0" fontId="12" fillId="0" borderId="34" xfId="162" applyBorder="1"/>
    <xf numFmtId="193" fontId="63" fillId="30" borderId="0" xfId="162" applyNumberFormat="1" applyFont="1" applyFill="1" applyAlignment="1" applyProtection="1">
      <alignment horizontal="left"/>
      <protection locked="0"/>
    </xf>
    <xf numFmtId="3" fontId="125" fillId="30" borderId="0" xfId="162" applyNumberFormat="1" applyFont="1" applyFill="1" applyProtection="1">
      <protection locked="0"/>
    </xf>
    <xf numFmtId="37" fontId="8" fillId="30" borderId="0" xfId="162" applyNumberFormat="1" applyFont="1" applyFill="1" applyProtection="1">
      <protection locked="0"/>
    </xf>
    <xf numFmtId="193" fontId="63" fillId="30" borderId="0" xfId="162" quotePrefix="1" applyNumberFormat="1" applyFont="1" applyFill="1" applyAlignment="1" applyProtection="1">
      <alignment horizontal="left"/>
      <protection locked="0"/>
    </xf>
    <xf numFmtId="3" fontId="63" fillId="30" borderId="0" xfId="162" applyNumberFormat="1" applyFont="1" applyFill="1" applyProtection="1">
      <protection locked="0"/>
    </xf>
    <xf numFmtId="3" fontId="63" fillId="30" borderId="0" xfId="162" quotePrefix="1" applyNumberFormat="1" applyFont="1" applyFill="1" applyProtection="1">
      <protection locked="0"/>
    </xf>
    <xf numFmtId="0" fontId="24" fillId="0" borderId="0" xfId="210" applyFont="1"/>
    <xf numFmtId="0" fontId="24" fillId="0" borderId="0" xfId="210" applyFont="1" applyAlignment="1">
      <alignment horizontal="center"/>
    </xf>
    <xf numFmtId="0" fontId="12" fillId="0" borderId="0" xfId="210" applyFont="1" applyAlignment="1">
      <alignment horizontal="right"/>
    </xf>
    <xf numFmtId="14" fontId="24" fillId="0" borderId="0" xfId="210" applyNumberFormat="1" applyFont="1"/>
    <xf numFmtId="0" fontId="24" fillId="0" borderId="0" xfId="162" applyFont="1"/>
    <xf numFmtId="9" fontId="24" fillId="0" borderId="0" xfId="267" applyFont="1"/>
    <xf numFmtId="41" fontId="24" fillId="0" borderId="0" xfId="210" applyNumberFormat="1" applyFont="1"/>
    <xf numFmtId="10" fontId="24" fillId="0" borderId="0" xfId="269" applyNumberFormat="1" applyFont="1"/>
    <xf numFmtId="0" fontId="24" fillId="0" borderId="0" xfId="0" applyFont="1"/>
    <xf numFmtId="0" fontId="24" fillId="0" borderId="11" xfId="210" applyFont="1" applyBorder="1"/>
    <xf numFmtId="0" fontId="25" fillId="0" borderId="11" xfId="210" applyFont="1" applyBorder="1" applyAlignment="1">
      <alignment horizontal="center"/>
    </xf>
    <xf numFmtId="0" fontId="25" fillId="0" borderId="11" xfId="210" applyFont="1" applyBorder="1" applyAlignment="1">
      <alignment horizontal="center" wrapText="1"/>
    </xf>
    <xf numFmtId="0" fontId="25" fillId="0" borderId="13" xfId="210" applyFont="1" applyBorder="1" applyAlignment="1">
      <alignment horizontal="center" wrapText="1"/>
    </xf>
    <xf numFmtId="0" fontId="25" fillId="0" borderId="0" xfId="210" applyFont="1" applyAlignment="1">
      <alignment horizontal="center"/>
    </xf>
    <xf numFmtId="0" fontId="25" fillId="0" borderId="0" xfId="210" applyFont="1" applyAlignment="1">
      <alignment horizontal="center" wrapText="1"/>
    </xf>
    <xf numFmtId="0" fontId="25" fillId="0" borderId="0" xfId="210" applyFont="1" applyAlignment="1">
      <alignment horizontal="left"/>
    </xf>
    <xf numFmtId="0" fontId="24" fillId="35" borderId="0" xfId="210" applyFont="1" applyFill="1"/>
    <xf numFmtId="49" fontId="24" fillId="0" borderId="0" xfId="210" applyNumberFormat="1" applyFont="1" applyAlignment="1">
      <alignment horizontal="center"/>
    </xf>
    <xf numFmtId="41" fontId="24" fillId="30" borderId="12" xfId="249" applyNumberFormat="1" applyFont="1" applyFill="1" applyBorder="1" applyProtection="1">
      <protection locked="0"/>
    </xf>
    <xf numFmtId="173" fontId="24" fillId="36" borderId="12" xfId="111" applyNumberFormat="1" applyFont="1" applyFill="1" applyBorder="1"/>
    <xf numFmtId="173" fontId="24" fillId="0" borderId="47" xfId="111" applyNumberFormat="1" applyFont="1" applyFill="1" applyBorder="1"/>
    <xf numFmtId="173" fontId="24" fillId="0" borderId="12" xfId="111" applyNumberFormat="1" applyFont="1" applyFill="1" applyBorder="1"/>
    <xf numFmtId="41" fontId="24" fillId="30" borderId="0" xfId="249" applyNumberFormat="1" applyFont="1" applyFill="1" applyProtection="1">
      <protection locked="0"/>
    </xf>
    <xf numFmtId="41" fontId="24" fillId="0" borderId="0" xfId="210" applyNumberFormat="1" applyFont="1" applyAlignment="1">
      <alignment horizontal="center"/>
    </xf>
    <xf numFmtId="0" fontId="25" fillId="0" borderId="0" xfId="210" applyFont="1"/>
    <xf numFmtId="173" fontId="24" fillId="36" borderId="47" xfId="111" applyNumberFormat="1" applyFont="1" applyFill="1" applyBorder="1"/>
    <xf numFmtId="41" fontId="24" fillId="0" borderId="12" xfId="162" applyNumberFormat="1" applyFont="1" applyBorder="1"/>
    <xf numFmtId="41" fontId="24" fillId="30" borderId="34" xfId="249" applyNumberFormat="1" applyFont="1" applyFill="1" applyBorder="1" applyAlignment="1" applyProtection="1">
      <alignment vertical="center" wrapText="1"/>
      <protection locked="0"/>
    </xf>
    <xf numFmtId="173" fontId="24" fillId="0" borderId="0" xfId="86" applyNumberFormat="1" applyFont="1" applyBorder="1" applyAlignment="1">
      <alignment horizontal="center"/>
    </xf>
    <xf numFmtId="41" fontId="24" fillId="30" borderId="34" xfId="249" applyNumberFormat="1" applyFont="1" applyFill="1" applyBorder="1" applyAlignment="1" applyProtection="1">
      <alignment vertical="top"/>
      <protection locked="0"/>
    </xf>
    <xf numFmtId="0" fontId="24" fillId="0" borderId="0" xfId="210" applyFont="1" applyAlignment="1">
      <alignment wrapText="1"/>
    </xf>
    <xf numFmtId="173" fontId="24" fillId="36" borderId="0" xfId="111" applyNumberFormat="1" applyFont="1" applyFill="1" applyBorder="1"/>
    <xf numFmtId="41" fontId="24" fillId="30" borderId="48" xfId="249" applyNumberFormat="1" applyFont="1" applyFill="1" applyBorder="1" applyProtection="1">
      <protection locked="0"/>
    </xf>
    <xf numFmtId="173" fontId="24" fillId="0" borderId="0" xfId="111" applyNumberFormat="1" applyFont="1" applyFill="1" applyBorder="1"/>
    <xf numFmtId="173" fontId="24" fillId="0" borderId="0" xfId="111" applyNumberFormat="1" applyFont="1" applyBorder="1" applyAlignment="1">
      <alignment wrapText="1"/>
    </xf>
    <xf numFmtId="0" fontId="24" fillId="0" borderId="0" xfId="210" applyFont="1" applyAlignment="1">
      <alignment horizontal="left"/>
    </xf>
    <xf numFmtId="1" fontId="24" fillId="0" borderId="14" xfId="86" applyNumberFormat="1" applyFont="1" applyBorder="1" applyAlignment="1"/>
    <xf numFmtId="173" fontId="24" fillId="0" borderId="14" xfId="86" applyNumberFormat="1" applyFont="1" applyBorder="1" applyAlignment="1"/>
    <xf numFmtId="177" fontId="24" fillId="0" borderId="14" xfId="86" applyNumberFormat="1" applyFont="1" applyBorder="1" applyAlignment="1"/>
    <xf numFmtId="173" fontId="24" fillId="0" borderId="0" xfId="111" applyNumberFormat="1" applyFont="1" applyAlignment="1">
      <alignment wrapText="1"/>
    </xf>
    <xf numFmtId="1" fontId="24" fillId="0" borderId="0" xfId="86" applyNumberFormat="1" applyFont="1" applyBorder="1" applyAlignment="1"/>
    <xf numFmtId="177" fontId="24" fillId="0" borderId="0" xfId="86" applyNumberFormat="1" applyFont="1" applyBorder="1" applyAlignment="1"/>
    <xf numFmtId="173" fontId="24" fillId="0" borderId="1" xfId="86" applyNumberFormat="1" applyFont="1" applyBorder="1" applyAlignment="1">
      <alignment horizontal="center"/>
    </xf>
    <xf numFmtId="173" fontId="24" fillId="0" borderId="0" xfId="86" applyNumberFormat="1" applyFont="1" applyBorder="1" applyAlignment="1"/>
    <xf numFmtId="0" fontId="24" fillId="0" borderId="0" xfId="210" applyFont="1" applyAlignment="1">
      <alignment horizontal="left" vertical="center"/>
    </xf>
    <xf numFmtId="0" fontId="24" fillId="0" borderId="0" xfId="210" applyFont="1" applyAlignment="1">
      <alignment vertical="top" wrapText="1"/>
    </xf>
    <xf numFmtId="173" fontId="24" fillId="0" borderId="0" xfId="210" applyNumberFormat="1" applyFont="1"/>
    <xf numFmtId="0" fontId="24" fillId="0" borderId="0" xfId="210" applyFont="1" applyAlignment="1">
      <alignment vertical="top"/>
    </xf>
    <xf numFmtId="0" fontId="25" fillId="0" borderId="0" xfId="210" applyFont="1" applyAlignment="1">
      <alignment horizontal="left" vertical="center"/>
    </xf>
    <xf numFmtId="173" fontId="24" fillId="0" borderId="0" xfId="210" applyNumberFormat="1" applyFont="1" applyAlignment="1">
      <alignment horizontal="left" vertical="center"/>
    </xf>
    <xf numFmtId="3" fontId="19" fillId="30" borderId="6" xfId="255" applyNumberFormat="1" applyFont="1" applyFill="1" applyBorder="1" applyProtection="1">
      <protection locked="0"/>
    </xf>
    <xf numFmtId="0" fontId="122" fillId="0" borderId="29" xfId="0" applyFont="1" applyBorder="1" applyAlignment="1">
      <alignment horizontal="center" wrapText="1"/>
    </xf>
    <xf numFmtId="170" fontId="144" fillId="30" borderId="0" xfId="254" applyNumberFormat="1" applyFont="1" applyFill="1" applyAlignment="1" applyProtection="1">
      <alignment horizontal="right"/>
      <protection locked="0"/>
    </xf>
    <xf numFmtId="170" fontId="140" fillId="0" borderId="0" xfId="254" applyNumberFormat="1" applyFont="1" applyAlignment="1" applyProtection="1">
      <alignment horizontal="right"/>
    </xf>
    <xf numFmtId="171" fontId="140" fillId="0" borderId="0" xfId="254" applyNumberFormat="1" applyFont="1" applyProtection="1"/>
    <xf numFmtId="171" fontId="140" fillId="33" borderId="0" xfId="254" applyNumberFormat="1" applyFont="1" applyFill="1" applyProtection="1">
      <protection locked="0"/>
    </xf>
    <xf numFmtId="3" fontId="144" fillId="30" borderId="0" xfId="110" applyNumberFormat="1" applyFont="1" applyFill="1" applyBorder="1" applyAlignment="1" applyProtection="1">
      <alignment horizontal="right"/>
      <protection locked="0"/>
    </xf>
    <xf numFmtId="170" fontId="140" fillId="0" borderId="0" xfId="254" applyNumberFormat="1" applyFont="1" applyProtection="1"/>
    <xf numFmtId="170" fontId="144" fillId="30" borderId="0" xfId="0" applyNumberFormat="1" applyFont="1" applyFill="1" applyAlignment="1" applyProtection="1">
      <alignment horizontal="right"/>
      <protection locked="0"/>
    </xf>
    <xf numFmtId="170" fontId="144" fillId="30" borderId="6" xfId="0" applyNumberFormat="1" applyFont="1" applyFill="1" applyBorder="1" applyAlignment="1" applyProtection="1">
      <alignment horizontal="right"/>
      <protection locked="0"/>
    </xf>
    <xf numFmtId="3" fontId="5" fillId="30" borderId="0" xfId="0" quotePrefix="1" applyNumberFormat="1" applyFont="1" applyFill="1" applyAlignment="1" applyProtection="1">
      <alignment horizontal="center"/>
      <protection locked="0"/>
    </xf>
    <xf numFmtId="41" fontId="27" fillId="0" borderId="0" xfId="248" applyNumberFormat="1" applyFont="1" applyProtection="1">
      <protection locked="0"/>
    </xf>
    <xf numFmtId="49" fontId="2" fillId="0" borderId="0" xfId="332" applyNumberFormat="1"/>
    <xf numFmtId="0" fontId="2" fillId="0" borderId="0" xfId="332"/>
    <xf numFmtId="0" fontId="5" fillId="0" borderId="0" xfId="332" applyFont="1" applyAlignment="1">
      <alignment horizontal="right"/>
    </xf>
    <xf numFmtId="173" fontId="2" fillId="0" borderId="0" xfId="333" applyNumberFormat="1" applyFont="1"/>
    <xf numFmtId="0" fontId="24" fillId="0" borderId="0" xfId="334" applyFont="1" applyAlignment="1">
      <alignment horizontal="right"/>
    </xf>
    <xf numFmtId="0" fontId="2" fillId="0" borderId="0" xfId="334" applyFont="1" applyAlignment="1">
      <alignment horizontal="right"/>
    </xf>
    <xf numFmtId="0" fontId="2" fillId="0" borderId="0" xfId="335"/>
    <xf numFmtId="41" fontId="9" fillId="0" borderId="0" xfId="336" applyNumberFormat="1" applyFont="1" applyAlignment="1" applyProtection="1">
      <alignment horizontal="center"/>
      <protection locked="0"/>
    </xf>
    <xf numFmtId="2" fontId="2" fillId="0" borderId="0" xfId="332" applyNumberFormat="1" applyAlignment="1">
      <alignment horizontal="center"/>
    </xf>
    <xf numFmtId="0" fontId="2" fillId="0" borderId="0" xfId="332" applyAlignment="1">
      <alignment horizontal="center"/>
    </xf>
    <xf numFmtId="2" fontId="2" fillId="0" borderId="0" xfId="332" applyNumberFormat="1"/>
    <xf numFmtId="0" fontId="2" fillId="0" borderId="0" xfId="332" applyAlignment="1">
      <alignment wrapText="1"/>
    </xf>
    <xf numFmtId="0" fontId="2" fillId="0" borderId="0" xfId="332" applyAlignment="1">
      <alignment horizontal="center" wrapText="1"/>
    </xf>
    <xf numFmtId="1" fontId="2" fillId="0" borderId="0" xfId="332" applyNumberFormat="1" applyAlignment="1">
      <alignment horizontal="center"/>
    </xf>
    <xf numFmtId="49" fontId="2" fillId="0" borderId="0" xfId="333" applyNumberFormat="1" applyFont="1"/>
    <xf numFmtId="173" fontId="2" fillId="0" borderId="11" xfId="333" applyNumberFormat="1" applyFont="1" applyBorder="1"/>
    <xf numFmtId="173" fontId="2" fillId="0" borderId="0" xfId="333" applyNumberFormat="1" applyFont="1" applyFill="1"/>
    <xf numFmtId="10" fontId="2" fillId="0" borderId="0" xfId="337" applyNumberFormat="1" applyFont="1" applyFill="1" applyAlignment="1"/>
    <xf numFmtId="9" fontId="2" fillId="0" borderId="0" xfId="337" applyFont="1"/>
    <xf numFmtId="9" fontId="2" fillId="0" borderId="0" xfId="337" applyFont="1" applyFill="1"/>
    <xf numFmtId="43" fontId="2" fillId="0" borderId="0" xfId="333" applyFont="1" applyFill="1"/>
    <xf numFmtId="10" fontId="2" fillId="0" borderId="0" xfId="337" applyNumberFormat="1" applyFont="1" applyFill="1"/>
    <xf numFmtId="173" fontId="2" fillId="0" borderId="13" xfId="333" applyNumberFormat="1" applyFont="1" applyBorder="1"/>
    <xf numFmtId="173" fontId="2" fillId="0" borderId="0" xfId="333" applyNumberFormat="1" applyFont="1" applyBorder="1"/>
    <xf numFmtId="10" fontId="2" fillId="0" borderId="0" xfId="337" applyNumberFormat="1" applyFont="1"/>
    <xf numFmtId="0" fontId="15" fillId="0" borderId="0" xfId="332" applyFont="1"/>
    <xf numFmtId="0" fontId="15" fillId="0" borderId="0" xfId="332" applyFont="1" applyAlignment="1">
      <alignment vertical="top"/>
    </xf>
    <xf numFmtId="0" fontId="2" fillId="0" borderId="0" xfId="332" applyAlignment="1">
      <alignment vertical="center"/>
    </xf>
    <xf numFmtId="0" fontId="155" fillId="0" borderId="0" xfId="332" applyFont="1" applyAlignment="1">
      <alignment vertical="center"/>
    </xf>
    <xf numFmtId="0" fontId="155" fillId="0" borderId="0" xfId="332" applyFont="1" applyAlignment="1">
      <alignment vertical="center" wrapText="1"/>
    </xf>
    <xf numFmtId="173" fontId="8" fillId="26" borderId="2" xfId="107" applyNumberFormat="1" applyFont="1" applyFill="1" applyBorder="1" applyAlignment="1" applyProtection="1">
      <protection locked="0"/>
    </xf>
    <xf numFmtId="173" fontId="8" fillId="26" borderId="0" xfId="107" applyNumberFormat="1" applyFont="1" applyFill="1" applyBorder="1" applyAlignment="1" applyProtection="1">
      <protection locked="0"/>
    </xf>
    <xf numFmtId="173" fontId="8" fillId="26" borderId="11" xfId="107" applyNumberFormat="1" applyFont="1" applyFill="1" applyBorder="1" applyAlignment="1" applyProtection="1">
      <protection locked="0"/>
    </xf>
    <xf numFmtId="172" fontId="5" fillId="0" borderId="0" xfId="255" applyFont="1" applyAlignment="1" applyProtection="1">
      <alignment horizontal="left" wrapText="1"/>
    </xf>
    <xf numFmtId="173" fontId="8" fillId="26" borderId="0" xfId="341" applyNumberFormat="1" applyFont="1" applyFill="1" applyBorder="1" applyAlignment="1">
      <alignment horizontal="right"/>
    </xf>
    <xf numFmtId="173" fontId="8" fillId="26" borderId="35" xfId="341" applyNumberFormat="1" applyFont="1" applyFill="1" applyBorder="1" applyAlignment="1">
      <alignment horizontal="right"/>
    </xf>
    <xf numFmtId="173" fontId="8" fillId="26" borderId="37" xfId="341" applyNumberFormat="1" applyFont="1" applyFill="1" applyBorder="1" applyAlignment="1">
      <alignment horizontal="right"/>
    </xf>
    <xf numFmtId="173" fontId="2" fillId="0" borderId="14" xfId="341" applyNumberFormat="1" applyFont="1" applyBorder="1"/>
    <xf numFmtId="173" fontId="2" fillId="0" borderId="41" xfId="341" applyNumberFormat="1" applyFont="1" applyBorder="1"/>
    <xf numFmtId="173" fontId="8" fillId="26" borderId="33" xfId="341" applyNumberFormat="1" applyFont="1" applyFill="1" applyBorder="1" applyAlignment="1">
      <alignment horizontal="right"/>
    </xf>
    <xf numFmtId="0" fontId="155" fillId="0" borderId="2" xfId="0" applyFont="1" applyBorder="1"/>
    <xf numFmtId="0" fontId="155" fillId="0" borderId="33" xfId="0" applyFont="1" applyBorder="1"/>
    <xf numFmtId="173" fontId="155" fillId="26" borderId="0" xfId="341" applyNumberFormat="1" applyFont="1" applyFill="1" applyBorder="1" applyAlignment="1">
      <alignment horizontal="right"/>
    </xf>
    <xf numFmtId="173" fontId="155" fillId="26" borderId="33" xfId="341" applyNumberFormat="1" applyFont="1" applyFill="1" applyBorder="1" applyAlignment="1">
      <alignment horizontal="right"/>
    </xf>
    <xf numFmtId="173" fontId="155" fillId="26" borderId="35" xfId="341" applyNumberFormat="1" applyFont="1" applyFill="1" applyBorder="1" applyAlignment="1">
      <alignment horizontal="right"/>
    </xf>
    <xf numFmtId="173" fontId="155" fillId="26" borderId="37" xfId="341" applyNumberFormat="1" applyFont="1" applyFill="1" applyBorder="1" applyAlignment="1">
      <alignment horizontal="right"/>
    </xf>
    <xf numFmtId="0" fontId="9" fillId="0" borderId="0" xfId="339" applyFont="1" applyAlignment="1">
      <alignment horizontal="center"/>
    </xf>
    <xf numFmtId="0" fontId="9" fillId="0" borderId="2" xfId="259" applyFont="1" applyBorder="1" applyAlignment="1">
      <alignment horizontal="center" wrapText="1"/>
    </xf>
    <xf numFmtId="0" fontId="9" fillId="0" borderId="0" xfId="247" applyFont="1" applyAlignment="1">
      <alignment horizontal="center" wrapText="1"/>
    </xf>
    <xf numFmtId="173" fontId="8" fillId="26" borderId="11" xfId="341" applyNumberFormat="1" applyFont="1" applyFill="1" applyBorder="1" applyAlignment="1">
      <alignment horizontal="right"/>
    </xf>
    <xf numFmtId="173" fontId="8" fillId="30" borderId="0" xfId="89" applyNumberFormat="1" applyFont="1" applyFill="1" applyBorder="1" applyAlignment="1">
      <alignment horizontal="right"/>
    </xf>
    <xf numFmtId="173" fontId="8" fillId="30" borderId="11" xfId="89" applyNumberFormat="1" applyFont="1" applyFill="1" applyBorder="1" applyAlignment="1">
      <alignment horizontal="right"/>
    </xf>
    <xf numFmtId="0" fontId="9" fillId="0" borderId="0" xfId="339" applyFont="1" applyAlignment="1">
      <alignment horizontal="center" wrapText="1"/>
    </xf>
    <xf numFmtId="0" fontId="9" fillId="0" borderId="35" xfId="339" applyFont="1" applyBorder="1" applyAlignment="1">
      <alignment horizontal="center" wrapText="1"/>
    </xf>
    <xf numFmtId="0" fontId="9" fillId="0" borderId="35" xfId="339" applyFont="1" applyBorder="1" applyAlignment="1">
      <alignment horizontal="center"/>
    </xf>
    <xf numFmtId="3" fontId="24" fillId="0" borderId="11" xfId="340" applyNumberFormat="1" applyFont="1" applyBorder="1" applyAlignment="1">
      <alignment horizontal="center" wrapText="1"/>
    </xf>
    <xf numFmtId="3" fontId="24" fillId="0" borderId="37" xfId="340" applyNumberFormat="1" applyFont="1" applyBorder="1" applyAlignment="1">
      <alignment horizontal="center" wrapText="1"/>
    </xf>
    <xf numFmtId="0" fontId="9" fillId="0" borderId="2" xfId="339" applyFont="1" applyBorder="1" applyAlignment="1">
      <alignment horizontal="center" wrapText="1"/>
    </xf>
    <xf numFmtId="0" fontId="9" fillId="0" borderId="33" xfId="339" applyFont="1" applyBorder="1" applyAlignment="1">
      <alignment horizontal="center" wrapText="1"/>
    </xf>
    <xf numFmtId="3" fontId="2" fillId="0" borderId="11" xfId="340" applyNumberFormat="1" applyBorder="1" applyAlignment="1">
      <alignment horizontal="center" wrapText="1"/>
    </xf>
    <xf numFmtId="3" fontId="2" fillId="0" borderId="37" xfId="340" applyNumberFormat="1" applyBorder="1" applyAlignment="1">
      <alignment horizontal="center" wrapText="1"/>
    </xf>
    <xf numFmtId="3" fontId="157" fillId="0" borderId="0" xfId="255" applyNumberFormat="1" applyFont="1" applyProtection="1"/>
    <xf numFmtId="3" fontId="157" fillId="26" borderId="0" xfId="255" applyNumberFormat="1" applyFont="1" applyFill="1" applyProtection="1">
      <protection locked="0"/>
    </xf>
    <xf numFmtId="3" fontId="157" fillId="0" borderId="0" xfId="255" applyNumberFormat="1" applyFont="1" applyAlignment="1" applyProtection="1">
      <alignment horizontal="center"/>
    </xf>
    <xf numFmtId="41" fontId="157" fillId="26" borderId="6" xfId="255" applyNumberFormat="1" applyFont="1" applyFill="1" applyBorder="1" applyProtection="1">
      <protection locked="0"/>
    </xf>
    <xf numFmtId="41" fontId="93" fillId="0" borderId="0" xfId="255" applyNumberFormat="1" applyFont="1" applyAlignment="1" applyProtection="1">
      <alignment horizontal="right"/>
    </xf>
    <xf numFmtId="3" fontId="93" fillId="0" borderId="0" xfId="255" applyNumberFormat="1" applyFont="1" applyAlignment="1" applyProtection="1">
      <alignment horizontal="right"/>
    </xf>
    <xf numFmtId="178" fontId="6" fillId="0" borderId="0" xfId="255" applyNumberFormat="1" applyFont="1" applyAlignment="1" applyProtection="1">
      <alignment horizontal="right"/>
    </xf>
    <xf numFmtId="0" fontId="2" fillId="0" borderId="0" xfId="0" applyFont="1" applyAlignment="1">
      <alignment wrapText="1"/>
    </xf>
    <xf numFmtId="166" fontId="6" fillId="0" borderId="0" xfId="255" applyNumberFormat="1" applyFont="1" applyAlignment="1" applyProtection="1">
      <alignment horizontal="right"/>
    </xf>
    <xf numFmtId="184" fontId="5" fillId="0" borderId="0" xfId="255" applyNumberFormat="1" applyFont="1" applyProtection="1"/>
    <xf numFmtId="183" fontId="5" fillId="0" borderId="0" xfId="255" applyNumberFormat="1" applyFont="1" applyProtection="1"/>
    <xf numFmtId="3" fontId="6" fillId="0" borderId="0" xfId="255" applyNumberFormat="1" applyFont="1" applyAlignment="1" applyProtection="1">
      <alignment horizontal="right" vertical="center"/>
    </xf>
    <xf numFmtId="43" fontId="5" fillId="0" borderId="0" xfId="255" applyNumberFormat="1" applyFont="1" applyProtection="1"/>
    <xf numFmtId="173" fontId="5" fillId="0" borderId="6" xfId="86" applyNumberFormat="1" applyFont="1" applyFill="1" applyBorder="1" applyAlignment="1" applyProtection="1"/>
    <xf numFmtId="0" fontId="2" fillId="0" borderId="0" xfId="0" applyFont="1" applyAlignment="1">
      <alignment horizontal="center" wrapText="1"/>
    </xf>
    <xf numFmtId="0" fontId="5" fillId="0" borderId="0" xfId="0" applyFont="1" applyAlignment="1">
      <alignment horizontal="left" vertical="top" wrapText="1"/>
    </xf>
    <xf numFmtId="172" fontId="5" fillId="0" borderId="0" xfId="255" applyFont="1" applyAlignment="1" applyProtection="1">
      <alignment horizontal="left" wrapText="1"/>
    </xf>
    <xf numFmtId="0" fontId="5" fillId="0" borderId="0" xfId="255" applyNumberFormat="1" applyFont="1" applyAlignment="1" applyProtection="1">
      <alignment vertical="top" wrapText="1"/>
    </xf>
    <xf numFmtId="0" fontId="12" fillId="0" borderId="0" xfId="0" applyFont="1"/>
    <xf numFmtId="0" fontId="26" fillId="0" borderId="0" xfId="255" applyNumberFormat="1" applyFont="1" applyAlignment="1" applyProtection="1">
      <alignment horizontal="left" wrapText="1"/>
    </xf>
    <xf numFmtId="172" fontId="5" fillId="0" borderId="0" xfId="255" applyFont="1" applyAlignment="1" applyProtection="1">
      <alignment horizontal="justify" wrapText="1"/>
    </xf>
    <xf numFmtId="0" fontId="12" fillId="0" borderId="0" xfId="0" applyFont="1" applyAlignment="1">
      <alignment horizontal="justify" wrapText="1"/>
    </xf>
    <xf numFmtId="172" fontId="26" fillId="0" borderId="0" xfId="255" applyFont="1" applyAlignment="1" applyProtection="1">
      <alignment vertical="top" wrapText="1"/>
    </xf>
    <xf numFmtId="0" fontId="26" fillId="0" borderId="0" xfId="0" applyFont="1" applyAlignment="1">
      <alignment vertical="top" wrapText="1"/>
    </xf>
    <xf numFmtId="172" fontId="26" fillId="0" borderId="0" xfId="255" applyFont="1" applyAlignment="1" applyProtection="1">
      <alignment wrapText="1"/>
    </xf>
    <xf numFmtId="172" fontId="5" fillId="0" borderId="0" xfId="255" applyFont="1" applyAlignment="1" applyProtection="1">
      <alignment vertical="top" wrapText="1"/>
    </xf>
    <xf numFmtId="172" fontId="107" fillId="0" borderId="0" xfId="255" applyFont="1" applyAlignment="1" applyProtection="1">
      <alignment wrapText="1"/>
    </xf>
    <xf numFmtId="0" fontId="12" fillId="0" borderId="0" xfId="0" applyFont="1" applyAlignment="1">
      <alignment wrapText="1"/>
    </xf>
    <xf numFmtId="0" fontId="32" fillId="0" borderId="0" xfId="0" applyFont="1" applyAlignment="1">
      <alignment wrapText="1"/>
    </xf>
    <xf numFmtId="0" fontId="5" fillId="0" borderId="0" xfId="255" applyNumberFormat="1" applyFont="1" applyAlignment="1" applyProtection="1">
      <alignment wrapText="1"/>
    </xf>
    <xf numFmtId="0" fontId="5" fillId="32" borderId="0" xfId="255" applyNumberFormat="1" applyFont="1" applyFill="1" applyAlignment="1" applyProtection="1">
      <alignment horizontal="left" vertical="top" wrapText="1"/>
    </xf>
    <xf numFmtId="3" fontId="108" fillId="31" borderId="0" xfId="255" applyNumberFormat="1" applyFont="1" applyFill="1" applyAlignment="1" applyProtection="1">
      <alignment horizontal="center"/>
    </xf>
    <xf numFmtId="3" fontId="10" fillId="0" borderId="0" xfId="255" applyNumberFormat="1" applyFont="1" applyAlignment="1" applyProtection="1">
      <alignment horizontal="center"/>
    </xf>
    <xf numFmtId="0" fontId="5" fillId="0" borderId="0" xfId="0" applyFont="1" applyAlignment="1">
      <alignment wrapText="1"/>
    </xf>
    <xf numFmtId="172" fontId="77" fillId="0" borderId="0" xfId="255" applyFont="1" applyAlignment="1" applyProtection="1">
      <alignment horizontal="left" wrapText="1"/>
    </xf>
    <xf numFmtId="49" fontId="5" fillId="0" borderId="0" xfId="255" applyNumberFormat="1" applyFont="1" applyAlignment="1" applyProtection="1">
      <alignment horizontal="center"/>
    </xf>
    <xf numFmtId="0" fontId="32" fillId="0" borderId="0" xfId="0" applyFont="1" applyAlignment="1">
      <alignment horizontal="center"/>
    </xf>
    <xf numFmtId="0" fontId="10" fillId="0" borderId="0" xfId="255"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55" applyFont="1" applyBorder="1" applyAlignment="1" applyProtection="1">
      <alignment horizontal="center"/>
    </xf>
    <xf numFmtId="0" fontId="2" fillId="0" borderId="0" xfId="259" applyFont="1" applyAlignment="1">
      <alignment horizontal="left" wrapText="1"/>
    </xf>
    <xf numFmtId="0" fontId="5" fillId="0" borderId="0" xfId="0" applyFont="1" applyAlignment="1">
      <alignment horizontal="center"/>
    </xf>
    <xf numFmtId="0" fontId="5" fillId="0" borderId="0" xfId="207" applyFont="1" applyAlignment="1">
      <alignment horizontal="center"/>
    </xf>
    <xf numFmtId="3" fontId="5" fillId="0" borderId="0" xfId="207" applyNumberFormat="1" applyFont="1" applyAlignment="1">
      <alignment horizontal="center"/>
    </xf>
    <xf numFmtId="0" fontId="9" fillId="0" borderId="47" xfId="259" applyFont="1" applyBorder="1" applyAlignment="1">
      <alignment horizontal="center" wrapText="1"/>
    </xf>
    <xf numFmtId="0" fontId="9" fillId="0" borderId="13" xfId="259" applyFont="1" applyBorder="1" applyAlignment="1">
      <alignment horizontal="center" wrapText="1"/>
    </xf>
    <xf numFmtId="0" fontId="9" fillId="0" borderId="48" xfId="259" applyFont="1" applyBorder="1" applyAlignment="1">
      <alignment horizontal="center" wrapText="1"/>
    </xf>
    <xf numFmtId="0" fontId="9" fillId="0" borderId="47" xfId="0" applyFont="1" applyBorder="1" applyAlignment="1">
      <alignment horizontal="center"/>
    </xf>
    <xf numFmtId="0" fontId="9" fillId="0" borderId="13" xfId="0" applyFont="1" applyBorder="1" applyAlignment="1">
      <alignment horizontal="center"/>
    </xf>
    <xf numFmtId="0" fontId="9" fillId="0" borderId="48" xfId="0" applyFont="1" applyBorder="1" applyAlignment="1">
      <alignment horizontal="center"/>
    </xf>
    <xf numFmtId="0" fontId="40" fillId="0" borderId="0" xfId="248" applyFont="1" applyAlignment="1">
      <alignment horizontal="center" wrapText="1"/>
    </xf>
    <xf numFmtId="0" fontId="63" fillId="0" borderId="11" xfId="0" applyFont="1" applyBorder="1" applyAlignment="1">
      <alignment horizontal="center" wrapText="1"/>
    </xf>
    <xf numFmtId="3" fontId="5" fillId="0" borderId="0" xfId="0" applyNumberFormat="1" applyFont="1" applyAlignment="1">
      <alignment horizontal="center"/>
    </xf>
    <xf numFmtId="0" fontId="40" fillId="0" borderId="0" xfId="207" quotePrefix="1" applyFont="1" applyAlignment="1">
      <alignment horizontal="center" wrapText="1"/>
    </xf>
    <xf numFmtId="0" fontId="24" fillId="0" borderId="11" xfId="210" applyFont="1" applyBorder="1" applyAlignment="1">
      <alignment horizontal="center"/>
    </xf>
    <xf numFmtId="0" fontId="24" fillId="0" borderId="11" xfId="0" applyFont="1" applyBorder="1" applyAlignment="1">
      <alignment horizontal="center"/>
    </xf>
    <xf numFmtId="0" fontId="24" fillId="0" borderId="11" xfId="210" applyFont="1" applyBorder="1" applyAlignment="1">
      <alignment horizontal="center" wrapText="1"/>
    </xf>
    <xf numFmtId="0" fontId="25" fillId="0" borderId="0" xfId="210" applyFont="1" applyAlignment="1">
      <alignment horizontal="center" wrapText="1"/>
    </xf>
    <xf numFmtId="41" fontId="24" fillId="30" borderId="34" xfId="249" applyNumberFormat="1" applyFont="1" applyFill="1" applyBorder="1" applyAlignment="1" applyProtection="1">
      <alignment horizontal="left" vertical="center" wrapText="1"/>
      <protection locked="0"/>
    </xf>
    <xf numFmtId="0" fontId="24" fillId="0" borderId="0" xfId="210" applyFont="1" applyAlignment="1">
      <alignment horizontal="center" wrapText="1"/>
    </xf>
    <xf numFmtId="0" fontId="24" fillId="0" borderId="0" xfId="210" applyFont="1" applyAlignment="1">
      <alignment horizontal="left" vertical="top" wrapText="1"/>
    </xf>
    <xf numFmtId="2" fontId="2" fillId="0" borderId="0" xfId="332" applyNumberFormat="1" applyAlignment="1">
      <alignment horizontal="left"/>
    </xf>
    <xf numFmtId="41" fontId="9" fillId="0" borderId="0" xfId="336" applyNumberFormat="1" applyFont="1" applyAlignment="1" applyProtection="1">
      <alignment horizontal="center"/>
      <protection locked="0"/>
    </xf>
    <xf numFmtId="0" fontId="2" fillId="0" borderId="0" xfId="332" applyAlignment="1">
      <alignment vertical="center" wrapText="1"/>
    </xf>
    <xf numFmtId="0" fontId="2" fillId="0" borderId="0" xfId="332" applyAlignment="1">
      <alignment horizontal="left" vertical="top" wrapText="1"/>
    </xf>
    <xf numFmtId="0" fontId="2" fillId="0" borderId="0" xfId="332" applyAlignment="1">
      <alignment horizontal="left" wrapText="1"/>
    </xf>
    <xf numFmtId="0" fontId="12" fillId="0" borderId="0" xfId="207" applyAlignment="1">
      <alignment horizontal="left" wrapText="1"/>
    </xf>
    <xf numFmtId="0" fontId="81" fillId="0" borderId="0" xfId="207" applyFont="1" applyAlignment="1">
      <alignment horizontal="center"/>
    </xf>
    <xf numFmtId="0" fontId="81" fillId="0" borderId="0" xfId="248" applyFont="1" applyAlignment="1">
      <alignment horizontal="center"/>
    </xf>
    <xf numFmtId="0" fontId="17" fillId="0" borderId="0" xfId="248" applyFont="1" applyAlignment="1">
      <alignment horizontal="center" wrapText="1"/>
    </xf>
    <xf numFmtId="0" fontId="13" fillId="0" borderId="0" xfId="0" applyFont="1" applyAlignment="1">
      <alignment horizontal="center" wrapText="1"/>
    </xf>
    <xf numFmtId="0" fontId="17" fillId="0" borderId="0" xfId="207" quotePrefix="1" applyFont="1" applyAlignment="1">
      <alignment horizontal="center" wrapText="1"/>
    </xf>
    <xf numFmtId="0" fontId="81" fillId="0" borderId="0" xfId="0" applyFont="1" applyAlignment="1">
      <alignment horizontal="center"/>
    </xf>
    <xf numFmtId="172" fontId="109" fillId="0" borderId="0" xfId="255" applyFont="1" applyAlignment="1" applyProtection="1">
      <alignment wrapText="1"/>
    </xf>
    <xf numFmtId="0" fontId="120" fillId="0" borderId="0" xfId="0" applyFont="1" applyAlignment="1">
      <alignment wrapText="1"/>
    </xf>
    <xf numFmtId="172" fontId="12" fillId="0" borderId="0" xfId="255" applyFont="1" applyAlignment="1" applyProtection="1">
      <alignment horizontal="left" vertical="top" wrapText="1"/>
    </xf>
    <xf numFmtId="0" fontId="94" fillId="0" borderId="0" xfId="260" applyFont="1" applyAlignment="1">
      <alignment wrapText="1"/>
    </xf>
    <xf numFmtId="3" fontId="4" fillId="0" borderId="0" xfId="0" applyNumberFormat="1" applyFont="1" applyAlignment="1">
      <alignment horizontal="center"/>
    </xf>
    <xf numFmtId="0" fontId="10" fillId="0" borderId="0" xfId="260" applyFont="1" applyAlignment="1">
      <alignment horizontal="center"/>
    </xf>
    <xf numFmtId="0" fontId="74" fillId="0" borderId="11" xfId="256" applyFont="1" applyBorder="1" applyAlignment="1">
      <alignment horizontal="center"/>
    </xf>
    <xf numFmtId="0" fontId="71" fillId="0" borderId="0" xfId="256" applyFont="1" applyAlignment="1">
      <alignment horizontal="left" wrapText="1"/>
    </xf>
    <xf numFmtId="0" fontId="0" fillId="0" borderId="0" xfId="0"/>
    <xf numFmtId="0" fontId="71" fillId="0" borderId="0" xfId="256" applyFont="1" applyAlignment="1">
      <alignment wrapText="1"/>
    </xf>
    <xf numFmtId="49" fontId="5" fillId="0" borderId="0" xfId="86" applyNumberFormat="1" applyFont="1" applyAlignment="1">
      <alignment horizontal="center"/>
    </xf>
    <xf numFmtId="0" fontId="4" fillId="0" borderId="0" xfId="207" applyFont="1" applyAlignment="1">
      <alignment horizontal="center"/>
    </xf>
    <xf numFmtId="0" fontId="4" fillId="0" borderId="0" xfId="0" applyFont="1" applyAlignment="1">
      <alignment horizontal="center"/>
    </xf>
    <xf numFmtId="0" fontId="156" fillId="30" borderId="0" xfId="0" applyFont="1" applyFill="1" applyAlignment="1" applyProtection="1">
      <alignment horizontal="left" vertical="top" wrapText="1"/>
      <protection locked="0"/>
    </xf>
    <xf numFmtId="0" fontId="0" fillId="0" borderId="0" xfId="0" applyAlignment="1">
      <alignment horizontal="left" wrapText="1"/>
    </xf>
    <xf numFmtId="173" fontId="95" fillId="0" borderId="0" xfId="86" applyNumberFormat="1" applyFont="1" applyBorder="1" applyAlignment="1" applyProtection="1">
      <alignment horizontal="center"/>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2" fillId="0" borderId="23" xfId="255" applyFont="1" applyBorder="1" applyAlignment="1" applyProtection="1">
      <alignment wrapText="1"/>
    </xf>
    <xf numFmtId="0" fontId="2" fillId="0" borderId="17" xfId="0" applyFont="1" applyBorder="1" applyAlignment="1">
      <alignment wrapText="1"/>
    </xf>
    <xf numFmtId="0" fontId="2" fillId="0" borderId="24" xfId="0" applyFont="1" applyBorder="1" applyAlignment="1">
      <alignment wrapText="1"/>
    </xf>
    <xf numFmtId="0" fontId="2" fillId="0" borderId="19" xfId="0" applyFont="1" applyBorder="1" applyAlignment="1">
      <alignment wrapText="1"/>
    </xf>
    <xf numFmtId="0" fontId="2" fillId="0" borderId="0" xfId="0" applyFont="1" applyAlignment="1">
      <alignment wrapText="1"/>
    </xf>
    <xf numFmtId="0" fontId="2" fillId="0" borderId="20" xfId="0" applyFont="1" applyBorder="1" applyAlignment="1">
      <alignment wrapText="1"/>
    </xf>
    <xf numFmtId="0" fontId="12" fillId="32" borderId="0" xfId="0" applyFont="1" applyFill="1" applyAlignment="1">
      <alignment wrapText="1"/>
    </xf>
    <xf numFmtId="0" fontId="0" fillId="32" borderId="0" xfId="0" applyFill="1" applyAlignment="1">
      <alignment wrapText="1"/>
    </xf>
    <xf numFmtId="0" fontId="5" fillId="0" borderId="0" xfId="162" applyFont="1" applyAlignment="1">
      <alignment horizontal="center"/>
    </xf>
    <xf numFmtId="0" fontId="9" fillId="0" borderId="47" xfId="162" applyFont="1" applyBorder="1" applyAlignment="1">
      <alignment horizontal="center"/>
    </xf>
    <xf numFmtId="0" fontId="9" fillId="0" borderId="13" xfId="162" applyFont="1" applyBorder="1" applyAlignment="1">
      <alignment horizontal="center"/>
    </xf>
    <xf numFmtId="0" fontId="9" fillId="0" borderId="48" xfId="162" applyFont="1" applyBorder="1" applyAlignment="1">
      <alignment horizontal="center"/>
    </xf>
    <xf numFmtId="0" fontId="12" fillId="0" borderId="0" xfId="250" applyAlignment="1">
      <alignment horizontal="left" wrapText="1"/>
    </xf>
    <xf numFmtId="0" fontId="12" fillId="0" borderId="0" xfId="181" applyAlignment="1">
      <alignment wrapText="1"/>
    </xf>
    <xf numFmtId="0" fontId="112" fillId="0" borderId="0" xfId="250" applyFont="1" applyAlignment="1">
      <alignment horizontal="left" wrapText="1"/>
    </xf>
    <xf numFmtId="0" fontId="63" fillId="0" borderId="0" xfId="162" applyFont="1" applyAlignment="1">
      <alignment horizontal="left" vertical="top" wrapText="1"/>
    </xf>
    <xf numFmtId="41" fontId="9" fillId="0" borderId="0" xfId="250" applyNumberFormat="1" applyFont="1" applyAlignment="1">
      <alignment horizontal="center" wrapText="1"/>
    </xf>
    <xf numFmtId="0" fontId="94" fillId="0" borderId="0" xfId="0" applyFont="1" applyAlignment="1">
      <alignment horizontal="center" wrapText="1"/>
    </xf>
    <xf numFmtId="0" fontId="9" fillId="0" borderId="0" xfId="0" applyFont="1" applyAlignment="1">
      <alignment horizontal="center" wrapText="1"/>
    </xf>
    <xf numFmtId="0" fontId="20" fillId="30" borderId="0" xfId="0" applyFont="1" applyFill="1" applyAlignment="1" applyProtection="1">
      <alignment wrapText="1"/>
      <protection locked="0"/>
    </xf>
    <xf numFmtId="0" fontId="9" fillId="0" borderId="0" xfId="0" applyFont="1" applyAlignment="1">
      <alignment horizontal="left" wrapText="1"/>
    </xf>
    <xf numFmtId="0" fontId="140" fillId="0" borderId="0" xfId="0" applyFont="1" applyAlignment="1">
      <alignment horizontal="left" vertical="center" wrapText="1"/>
    </xf>
    <xf numFmtId="0" fontId="140" fillId="0" borderId="0" xfId="207" applyFont="1" applyAlignment="1">
      <alignment horizontal="center"/>
    </xf>
    <xf numFmtId="3" fontId="140" fillId="0" borderId="0" xfId="207" applyNumberFormat="1" applyFont="1" applyAlignment="1">
      <alignment horizontal="center"/>
    </xf>
    <xf numFmtId="3" fontId="102" fillId="0" borderId="0" xfId="258" applyNumberFormat="1" applyFont="1" applyAlignment="1">
      <alignment horizontal="center"/>
    </xf>
    <xf numFmtId="0" fontId="77" fillId="0" borderId="11" xfId="258" applyFont="1" applyBorder="1" applyAlignment="1">
      <alignment wrapText="1"/>
    </xf>
    <xf numFmtId="0" fontId="0" fillId="0" borderId="11" xfId="0" applyBorder="1" applyAlignment="1">
      <alignment wrapText="1"/>
    </xf>
    <xf numFmtId="0" fontId="6" fillId="0" borderId="0" xfId="258" applyFont="1" applyAlignment="1">
      <alignment horizontal="left" wrapText="1"/>
    </xf>
    <xf numFmtId="0" fontId="5" fillId="0" borderId="0" xfId="258" applyFont="1" applyAlignment="1">
      <alignment horizontal="left" wrapText="1"/>
    </xf>
    <xf numFmtId="0" fontId="102" fillId="0" borderId="0" xfId="258" applyFont="1" applyAlignment="1">
      <alignment horizontal="center"/>
    </xf>
    <xf numFmtId="0" fontId="12" fillId="0" borderId="0" xfId="248" applyFont="1" applyAlignment="1">
      <alignment horizontal="left" vertical="top" wrapText="1"/>
    </xf>
    <xf numFmtId="0" fontId="9" fillId="0" borderId="0" xfId="262" applyFont="1" applyAlignment="1">
      <alignment horizontal="center"/>
    </xf>
    <xf numFmtId="0" fontId="77" fillId="0" borderId="0" xfId="0" applyFont="1" applyAlignment="1">
      <alignment horizontal="center"/>
    </xf>
    <xf numFmtId="0" fontId="6" fillId="0" borderId="0" xfId="0" applyFont="1" applyAlignment="1">
      <alignment horizontal="center"/>
    </xf>
    <xf numFmtId="0" fontId="122" fillId="0" borderId="0" xfId="0" applyFont="1" applyAlignment="1">
      <alignment horizontal="left" wrapText="1"/>
    </xf>
  </cellXfs>
  <cellStyles count="342">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41" xr:uid="{C1D88C71-FDA2-4A82-A250-04C47965F35E}"/>
    <cellStyle name="Comma 2 3" xfId="333" xr:uid="{C0A369C0-7B6E-401C-BE5B-5A65CDF64CBD}"/>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4 2" xfId="102" xr:uid="{00000000-0005-0000-0000-000065000000}"/>
    <cellStyle name="Comma 4 2 2" xfId="103" xr:uid="{00000000-0005-0000-0000-000066000000}"/>
    <cellStyle name="Comma 4 3" xfId="104" xr:uid="{00000000-0005-0000-0000-000067000000}"/>
    <cellStyle name="Comma 5 2" xfId="105" xr:uid="{00000000-0005-0000-0000-000068000000}"/>
    <cellStyle name="Comma 6" xfId="106" xr:uid="{00000000-0005-0000-0000-000069000000}"/>
    <cellStyle name="Comma 6 2" xfId="107" xr:uid="{00000000-0005-0000-0000-00006A000000}"/>
    <cellStyle name="Comma 6 2 2" xfId="108" xr:uid="{00000000-0005-0000-0000-00006B000000}"/>
    <cellStyle name="Comma 6 3" xfId="109" xr:uid="{00000000-0005-0000-0000-00006C000000}"/>
    <cellStyle name="Comma 7" xfId="110" xr:uid="{00000000-0005-0000-0000-00006D000000}"/>
    <cellStyle name="Comma 9" xfId="111" xr:uid="{00000000-0005-0000-0000-00006E000000}"/>
    <cellStyle name="Comma_spp calc - revsd rev crd" xfId="112" xr:uid="{00000000-0005-0000-0000-00006F000000}"/>
    <cellStyle name="Comma_spp calc - revsd rev crd 2" xfId="113" xr:uid="{00000000-0005-0000-0000-000070000000}"/>
    <cellStyle name="Comma0" xfId="114" xr:uid="{00000000-0005-0000-0000-000071000000}"/>
    <cellStyle name="Currency" xfId="115" builtinId="4"/>
    <cellStyle name="Currency 2" xfId="116" xr:uid="{00000000-0005-0000-0000-000073000000}"/>
    <cellStyle name="Currency 2 2" xfId="117" xr:uid="{00000000-0005-0000-0000-000074000000}"/>
    <cellStyle name="Currency 3" xfId="118" xr:uid="{00000000-0005-0000-0000-000075000000}"/>
    <cellStyle name="Currency 3 2" xfId="119" xr:uid="{00000000-0005-0000-0000-000076000000}"/>
    <cellStyle name="Currency 3 3" xfId="120" xr:uid="{00000000-0005-0000-0000-000077000000}"/>
    <cellStyle name="Currency 3 3 2" xfId="121" xr:uid="{00000000-0005-0000-0000-000078000000}"/>
    <cellStyle name="Currency 3 3 3" xfId="122" xr:uid="{00000000-0005-0000-0000-000079000000}"/>
    <cellStyle name="Currency 3 4" xfId="123" xr:uid="{00000000-0005-0000-0000-00007A000000}"/>
    <cellStyle name="Currency 3 4 2" xfId="124" xr:uid="{00000000-0005-0000-0000-00007B000000}"/>
    <cellStyle name="Currency 3 4 3" xfId="125" xr:uid="{00000000-0005-0000-0000-00007C000000}"/>
    <cellStyle name="Currency 3 5" xfId="126" xr:uid="{00000000-0005-0000-0000-00007D000000}"/>
    <cellStyle name="Currency 3 5 2" xfId="127" xr:uid="{00000000-0005-0000-0000-00007E000000}"/>
    <cellStyle name="Currency 3 6" xfId="128" xr:uid="{00000000-0005-0000-0000-00007F000000}"/>
    <cellStyle name="Currency 4 2" xfId="129" xr:uid="{00000000-0005-0000-0000-000080000000}"/>
    <cellStyle name="Currency 4 2 2" xfId="130" xr:uid="{00000000-0005-0000-0000-000081000000}"/>
    <cellStyle name="Currency 4 3" xfId="131" xr:uid="{00000000-0005-0000-0000-000082000000}"/>
    <cellStyle name="Currency 5 2" xfId="132" xr:uid="{00000000-0005-0000-0000-000083000000}"/>
    <cellStyle name="Currency 6" xfId="133" xr:uid="{00000000-0005-0000-0000-000084000000}"/>
    <cellStyle name="Currency0" xfId="134" xr:uid="{00000000-0005-0000-0000-000085000000}"/>
    <cellStyle name="Date" xfId="135" xr:uid="{00000000-0005-0000-0000-000086000000}"/>
    <cellStyle name="Explanatory Text" xfId="136" builtinId="53" customBuiltin="1"/>
    <cellStyle name="Explanatory Text 2" xfId="137" xr:uid="{00000000-0005-0000-0000-000088000000}"/>
    <cellStyle name="Fixed" xfId="138" xr:uid="{00000000-0005-0000-0000-000089000000}"/>
    <cellStyle name="Good" xfId="139" builtinId="26" customBuiltin="1"/>
    <cellStyle name="Good 2" xfId="140" xr:uid="{00000000-0005-0000-0000-00008B000000}"/>
    <cellStyle name="Heading 1" xfId="141" builtinId="16" customBuiltin="1"/>
    <cellStyle name="Heading 1 2" xfId="142" xr:uid="{00000000-0005-0000-0000-00008D000000}"/>
    <cellStyle name="Heading 2" xfId="143" builtinId="17" customBuiltin="1"/>
    <cellStyle name="Heading 2 2" xfId="144" xr:uid="{00000000-0005-0000-0000-00008F000000}"/>
    <cellStyle name="Heading 3" xfId="145" builtinId="18" customBuiltin="1"/>
    <cellStyle name="Heading 3 2" xfId="146" xr:uid="{00000000-0005-0000-0000-000091000000}"/>
    <cellStyle name="Heading 4" xfId="147" builtinId="19" customBuiltin="1"/>
    <cellStyle name="Heading 4 2" xfId="148" xr:uid="{00000000-0005-0000-0000-000093000000}"/>
    <cellStyle name="Heading1" xfId="149" xr:uid="{00000000-0005-0000-0000-000094000000}"/>
    <cellStyle name="Heading2" xfId="150" xr:uid="{00000000-0005-0000-0000-000095000000}"/>
    <cellStyle name="Input" xfId="151" builtinId="20" customBuiltin="1"/>
    <cellStyle name="Input 2" xfId="152" xr:uid="{00000000-0005-0000-0000-000097000000}"/>
    <cellStyle name="Linked Cell" xfId="153" builtinId="24" customBuiltin="1"/>
    <cellStyle name="Linked Cell 2" xfId="154" xr:uid="{00000000-0005-0000-0000-000099000000}"/>
    <cellStyle name="Neutral" xfId="155" builtinId="28" customBuiltin="1"/>
    <cellStyle name="Neutral 2" xfId="156" xr:uid="{00000000-0005-0000-0000-00009B000000}"/>
    <cellStyle name="Normal" xfId="0" builtinId="0"/>
    <cellStyle name="Normal 10" xfId="157" xr:uid="{00000000-0005-0000-0000-00009D000000}"/>
    <cellStyle name="Normal 10 2" xfId="158" xr:uid="{00000000-0005-0000-0000-00009E000000}"/>
    <cellStyle name="Normal 10 3" xfId="159" xr:uid="{00000000-0005-0000-0000-00009F000000}"/>
    <cellStyle name="Normal 10 4" xfId="160" xr:uid="{00000000-0005-0000-0000-0000A0000000}"/>
    <cellStyle name="Normal 11" xfId="161" xr:uid="{00000000-0005-0000-0000-0000A1000000}"/>
    <cellStyle name="Normal 11 2" xfId="162" xr:uid="{00000000-0005-0000-0000-0000A2000000}"/>
    <cellStyle name="Normal 11 3" xfId="163" xr:uid="{00000000-0005-0000-0000-0000A3000000}"/>
    <cellStyle name="Normal 11 4" xfId="164" xr:uid="{00000000-0005-0000-0000-0000A4000000}"/>
    <cellStyle name="Normal 12" xfId="165" xr:uid="{00000000-0005-0000-0000-0000A5000000}"/>
    <cellStyle name="Normal 12 2" xfId="166" xr:uid="{00000000-0005-0000-0000-0000A6000000}"/>
    <cellStyle name="Normal 12 4"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4 2" xfId="171" xr:uid="{00000000-0005-0000-0000-0000AB000000}"/>
    <cellStyle name="Normal 15" xfId="172" xr:uid="{00000000-0005-0000-0000-0000AC000000}"/>
    <cellStyle name="Normal 16" xfId="173" xr:uid="{00000000-0005-0000-0000-0000AD000000}"/>
    <cellStyle name="Normal 16 2" xfId="174" xr:uid="{00000000-0005-0000-0000-0000AE000000}"/>
    <cellStyle name="Normal 17" xfId="175" xr:uid="{00000000-0005-0000-0000-0000AF000000}"/>
    <cellStyle name="Normal 17 2" xfId="176" xr:uid="{00000000-0005-0000-0000-0000B0000000}"/>
    <cellStyle name="Normal 18" xfId="177" xr:uid="{00000000-0005-0000-0000-0000B1000000}"/>
    <cellStyle name="Normal 18 2" xfId="178" xr:uid="{00000000-0005-0000-0000-0000B2000000}"/>
    <cellStyle name="Normal 19" xfId="179" xr:uid="{00000000-0005-0000-0000-0000B3000000}"/>
    <cellStyle name="Normal 19 2" xfId="180" xr:uid="{00000000-0005-0000-0000-0000B4000000}"/>
    <cellStyle name="Normal 2" xfId="181" xr:uid="{00000000-0005-0000-0000-0000B5000000}"/>
    <cellStyle name="Normal 2 2" xfId="182" xr:uid="{00000000-0005-0000-0000-0000B6000000}"/>
    <cellStyle name="Normal 2 2 2" xfId="183" xr:uid="{00000000-0005-0000-0000-0000B7000000}"/>
    <cellStyle name="Normal 2 2 3" xfId="184" xr:uid="{00000000-0005-0000-0000-0000B8000000}"/>
    <cellStyle name="Normal 2 2 4" xfId="185" xr:uid="{00000000-0005-0000-0000-0000B9000000}"/>
    <cellStyle name="Normal 2 3" xfId="186" xr:uid="{00000000-0005-0000-0000-0000BA000000}"/>
    <cellStyle name="Normal 2 4" xfId="332" xr:uid="{19C74C8B-74E8-438E-98CE-B9318F524086}"/>
    <cellStyle name="Normal 2 5" xfId="187" xr:uid="{00000000-0005-0000-0000-0000BB000000}"/>
    <cellStyle name="Normal 2 5 2" xfId="188" xr:uid="{00000000-0005-0000-0000-0000BC000000}"/>
    <cellStyle name="Normal 20" xfId="189" xr:uid="{00000000-0005-0000-0000-0000BD000000}"/>
    <cellStyle name="Normal 20 2" xfId="190" xr:uid="{00000000-0005-0000-0000-0000BE000000}"/>
    <cellStyle name="Normal 21" xfId="191" xr:uid="{00000000-0005-0000-0000-0000BF000000}"/>
    <cellStyle name="Normal 21 2" xfId="192" xr:uid="{00000000-0005-0000-0000-0000C0000000}"/>
    <cellStyle name="Normal 22" xfId="193" xr:uid="{00000000-0005-0000-0000-0000C1000000}"/>
    <cellStyle name="Normal 22 2" xfId="194" xr:uid="{00000000-0005-0000-0000-0000C2000000}"/>
    <cellStyle name="Normal 23" xfId="195" xr:uid="{00000000-0005-0000-0000-0000C3000000}"/>
    <cellStyle name="Normal 23 2" xfId="196" xr:uid="{00000000-0005-0000-0000-0000C4000000}"/>
    <cellStyle name="Normal 24" xfId="197" xr:uid="{00000000-0005-0000-0000-0000C5000000}"/>
    <cellStyle name="Normal 24 2" xfId="198" xr:uid="{00000000-0005-0000-0000-0000C6000000}"/>
    <cellStyle name="Normal 25" xfId="199" xr:uid="{00000000-0005-0000-0000-0000C7000000}"/>
    <cellStyle name="Normal 25 2" xfId="200" xr:uid="{00000000-0005-0000-0000-0000C8000000}"/>
    <cellStyle name="Normal 26" xfId="201" xr:uid="{00000000-0005-0000-0000-0000C9000000}"/>
    <cellStyle name="Normal 26 2" xfId="202" xr:uid="{00000000-0005-0000-0000-0000CA000000}"/>
    <cellStyle name="Normal 27" xfId="203" xr:uid="{00000000-0005-0000-0000-0000CB000000}"/>
    <cellStyle name="Normal 28" xfId="204" xr:uid="{00000000-0005-0000-0000-0000CC000000}"/>
    <cellStyle name="Normal 29" xfId="205" xr:uid="{00000000-0005-0000-0000-0000CD000000}"/>
    <cellStyle name="Normal 3" xfId="206" xr:uid="{00000000-0005-0000-0000-0000CE000000}"/>
    <cellStyle name="Normal 3 2" xfId="207" xr:uid="{00000000-0005-0000-0000-0000CF000000}"/>
    <cellStyle name="Normal 3 2 2" xfId="340" xr:uid="{AEA3A461-B86A-421B-97F7-61D06988315F}"/>
    <cellStyle name="Normal 3 2 4" xfId="338" xr:uid="{E7445362-B91A-426A-B11A-3976B4840D20}"/>
    <cellStyle name="Normal 3 3" xfId="208" xr:uid="{00000000-0005-0000-0000-0000D0000000}"/>
    <cellStyle name="Normal 3_Attach O, GG, Support -New Method 2-14-11" xfId="209" xr:uid="{00000000-0005-0000-0000-0000D1000000}"/>
    <cellStyle name="Normal 31" xfId="210" xr:uid="{00000000-0005-0000-0000-0000D2000000}"/>
    <cellStyle name="Normal 31 2" xfId="334" xr:uid="{60E8299D-4BAD-478C-9F64-2D8F46BC1140}"/>
    <cellStyle name="Normal 4" xfId="211" xr:uid="{00000000-0005-0000-0000-0000D3000000}"/>
    <cellStyle name="Normal 4 2" xfId="212" xr:uid="{00000000-0005-0000-0000-0000D4000000}"/>
    <cellStyle name="Normal 4 3" xfId="213" xr:uid="{00000000-0005-0000-0000-0000D5000000}"/>
    <cellStyle name="Normal 4 3 2" xfId="214" xr:uid="{00000000-0005-0000-0000-0000D6000000}"/>
    <cellStyle name="Normal 4 3 3" xfId="215" xr:uid="{00000000-0005-0000-0000-0000D7000000}"/>
    <cellStyle name="Normal 4 4" xfId="216" xr:uid="{00000000-0005-0000-0000-0000D8000000}"/>
    <cellStyle name="Normal 4 4 2" xfId="217" xr:uid="{00000000-0005-0000-0000-0000D9000000}"/>
    <cellStyle name="Normal 4 4 3" xfId="218" xr:uid="{00000000-0005-0000-0000-0000DA000000}"/>
    <cellStyle name="Normal 4 5" xfId="219" xr:uid="{00000000-0005-0000-0000-0000DB000000}"/>
    <cellStyle name="Normal 4 5 2" xfId="220" xr:uid="{00000000-0005-0000-0000-0000DC000000}"/>
    <cellStyle name="Normal 4 6" xfId="221" xr:uid="{00000000-0005-0000-0000-0000DD000000}"/>
    <cellStyle name="Normal 4 7" xfId="222" xr:uid="{00000000-0005-0000-0000-0000DE000000}"/>
    <cellStyle name="Normal 4_PBOP Exhibit 1" xfId="223" xr:uid="{00000000-0005-0000-0000-0000DF000000}"/>
    <cellStyle name="Normal 5" xfId="335" xr:uid="{5897BDBC-76A5-42ED-B56D-1A6B919D3546}"/>
    <cellStyle name="Normal 5 2" xfId="224" xr:uid="{00000000-0005-0000-0000-0000E0000000}"/>
    <cellStyle name="Normal 5 2 2" xfId="225" xr:uid="{00000000-0005-0000-0000-0000E1000000}"/>
    <cellStyle name="Normal 5 2 3" xfId="226" xr:uid="{00000000-0005-0000-0000-0000E2000000}"/>
    <cellStyle name="Normal 5 3" xfId="227" xr:uid="{00000000-0005-0000-0000-0000E3000000}"/>
    <cellStyle name="Normal 5 4" xfId="228" xr:uid="{00000000-0005-0000-0000-0000E4000000}"/>
    <cellStyle name="Normal 5 4 2" xfId="229" xr:uid="{00000000-0005-0000-0000-0000E5000000}"/>
    <cellStyle name="Normal 6 2" xfId="230" xr:uid="{00000000-0005-0000-0000-0000E6000000}"/>
    <cellStyle name="Normal 6 2 2" xfId="231" xr:uid="{00000000-0005-0000-0000-0000E7000000}"/>
    <cellStyle name="Normal 6 2 3" xfId="232" xr:uid="{00000000-0005-0000-0000-0000E8000000}"/>
    <cellStyle name="Normal 6 2 4" xfId="233" xr:uid="{00000000-0005-0000-0000-0000E9000000}"/>
    <cellStyle name="Normal 6 3" xfId="234" xr:uid="{00000000-0005-0000-0000-0000EA000000}"/>
    <cellStyle name="Normal 6 3 2" xfId="235" xr:uid="{00000000-0005-0000-0000-0000EB000000}"/>
    <cellStyle name="Normal 6 4" xfId="236" xr:uid="{00000000-0005-0000-0000-0000EC000000}"/>
    <cellStyle name="Normal 6 5" xfId="237" xr:uid="{00000000-0005-0000-0000-0000ED000000}"/>
    <cellStyle name="Normal 7" xfId="238" xr:uid="{00000000-0005-0000-0000-0000EE000000}"/>
    <cellStyle name="Normal 7 2" xfId="239" xr:uid="{00000000-0005-0000-0000-0000EF000000}"/>
    <cellStyle name="Normal 7 3" xfId="240" xr:uid="{00000000-0005-0000-0000-0000F0000000}"/>
    <cellStyle name="Normal 8" xfId="241" xr:uid="{00000000-0005-0000-0000-0000F1000000}"/>
    <cellStyle name="Normal 8 2" xfId="242" xr:uid="{00000000-0005-0000-0000-0000F2000000}"/>
    <cellStyle name="Normal 8 3" xfId="243" xr:uid="{00000000-0005-0000-0000-0000F3000000}"/>
    <cellStyle name="Normal 9" xfId="244" xr:uid="{00000000-0005-0000-0000-0000F4000000}"/>
    <cellStyle name="Normal 9 2" xfId="245" xr:uid="{00000000-0005-0000-0000-0000F5000000}"/>
    <cellStyle name="Normal 9 3" xfId="246" xr:uid="{00000000-0005-0000-0000-0000F6000000}"/>
    <cellStyle name="Normal_21 Exh B" xfId="247" xr:uid="{00000000-0005-0000-0000-0000F7000000}"/>
    <cellStyle name="Normal_ADITAnalysisID090805" xfId="248" xr:uid="{00000000-0005-0000-0000-0000F8000000}"/>
    <cellStyle name="Normal_ADITAnalysisID090805 2" xfId="249" xr:uid="{00000000-0005-0000-0000-0000F9000000}"/>
    <cellStyle name="Normal_ADITAnalysisID090805 2 2" xfId="250" xr:uid="{00000000-0005-0000-0000-0000FA000000}"/>
    <cellStyle name="Normal_ADITAnalysisID090805 2 3" xfId="336" xr:uid="{1B4AB017-AF4F-4152-A050-1AB6CD8199E5}"/>
    <cellStyle name="Normal_ADITAnalysisID090805 3" xfId="251" xr:uid="{00000000-0005-0000-0000-0000FB000000}"/>
    <cellStyle name="Normal_ATC Projected 2008 Monthly Plant Balances for Attachment O 2 (2)" xfId="252" xr:uid="{00000000-0005-0000-0000-0000FC000000}"/>
    <cellStyle name="Normal_AU Period 2 Rev 4-27-00" xfId="253" xr:uid="{00000000-0005-0000-0000-0000FD000000}"/>
    <cellStyle name="Normal_Copy of PATH Formula Rate 2010 Projection Filed Sept 1, 2009 R1" xfId="254" xr:uid="{00000000-0005-0000-0000-0000FE000000}"/>
    <cellStyle name="Normal_FN1 Ratebase Draft SPP template (6-11-04) v2" xfId="255" xr:uid="{00000000-0005-0000-0000-0000FF000000}"/>
    <cellStyle name="Normal_I&amp;M-AK-1" xfId="256" xr:uid="{00000000-0005-0000-0000-000000010000}"/>
    <cellStyle name="Normal_IM LTD Hedge Entries 2" xfId="257" xr:uid="{00000000-0005-0000-0000-000001010000}"/>
    <cellStyle name="Normal_Revised 1-21-10  Deprec Summary" xfId="258" xr:uid="{00000000-0005-0000-0000-000002010000}"/>
    <cellStyle name="Normal_Schedule O Info for Mike" xfId="259" xr:uid="{00000000-0005-0000-0000-000003010000}"/>
    <cellStyle name="Normal_Schedule O Info for Mike 2" xfId="339" xr:uid="{F1D58196-F9FD-4447-950E-D333231FBE2C}"/>
    <cellStyle name="Normal_spp calc - revsd rev crd" xfId="260" xr:uid="{00000000-0005-0000-0000-000004010000}"/>
    <cellStyle name="Normal_spp calc - revsd rev crd 2" xfId="261" xr:uid="{00000000-0005-0000-0000-000005010000}"/>
    <cellStyle name="Normal_Worksheet Q Draft dwb edits" xfId="262" xr:uid="{00000000-0005-0000-0000-000006010000}"/>
    <cellStyle name="Note" xfId="263" builtinId="10" customBuiltin="1"/>
    <cellStyle name="Note 2" xfId="264" xr:uid="{00000000-0005-0000-0000-000008010000}"/>
    <cellStyle name="Output" xfId="265" builtinId="21" customBuiltin="1"/>
    <cellStyle name="Output 2" xfId="266" xr:uid="{00000000-0005-0000-0000-00000A010000}"/>
    <cellStyle name="Percent" xfId="267" builtinId="5"/>
    <cellStyle name="Percent 2" xfId="268" xr:uid="{00000000-0005-0000-0000-00000C010000}"/>
    <cellStyle name="Percent 2 2" xfId="269" xr:uid="{00000000-0005-0000-0000-00000D010000}"/>
    <cellStyle name="Percent 3" xfId="270" xr:uid="{00000000-0005-0000-0000-00000E010000}"/>
    <cellStyle name="Percent 3 2" xfId="271" xr:uid="{00000000-0005-0000-0000-00000F010000}"/>
    <cellStyle name="Percent 3 2 2" xfId="337" xr:uid="{AAFE9AC3-08EB-4815-89BD-C486F4FA739C}"/>
    <cellStyle name="Percent 3 3" xfId="272" xr:uid="{00000000-0005-0000-0000-000010010000}"/>
    <cellStyle name="Percent 3 3 2" xfId="273" xr:uid="{00000000-0005-0000-0000-000011010000}"/>
    <cellStyle name="Percent 3 3 3" xfId="274" xr:uid="{00000000-0005-0000-0000-000012010000}"/>
    <cellStyle name="Percent 3 4" xfId="275" xr:uid="{00000000-0005-0000-0000-000013010000}"/>
    <cellStyle name="Percent 3 4 2" xfId="276" xr:uid="{00000000-0005-0000-0000-000014010000}"/>
    <cellStyle name="Percent 3 4 3" xfId="277" xr:uid="{00000000-0005-0000-0000-000015010000}"/>
    <cellStyle name="Percent 3 5" xfId="278" xr:uid="{00000000-0005-0000-0000-000016010000}"/>
    <cellStyle name="Percent 3 5 2" xfId="279" xr:uid="{00000000-0005-0000-0000-000017010000}"/>
    <cellStyle name="Percent 3 6" xfId="280" xr:uid="{00000000-0005-0000-0000-000018010000}"/>
    <cellStyle name="Percent 4 2" xfId="281" xr:uid="{00000000-0005-0000-0000-000019010000}"/>
    <cellStyle name="Percent 4 3" xfId="282" xr:uid="{00000000-0005-0000-0000-00001A010000}"/>
    <cellStyle name="Percent 4 3 2" xfId="283" xr:uid="{00000000-0005-0000-0000-00001B010000}"/>
    <cellStyle name="Percent 4 4" xfId="284" xr:uid="{00000000-0005-0000-0000-00001C010000}"/>
    <cellStyle name="Percent 5 2" xfId="285" xr:uid="{00000000-0005-0000-0000-00001D010000}"/>
    <cellStyle name="Percent 6" xfId="286" xr:uid="{00000000-0005-0000-0000-00001E010000}"/>
    <cellStyle name="PSChar" xfId="287" xr:uid="{00000000-0005-0000-0000-00001F010000}"/>
    <cellStyle name="PSDate" xfId="288" xr:uid="{00000000-0005-0000-0000-000020010000}"/>
    <cellStyle name="PSDec" xfId="289" xr:uid="{00000000-0005-0000-0000-000021010000}"/>
    <cellStyle name="PSdesc" xfId="290" xr:uid="{00000000-0005-0000-0000-000022010000}"/>
    <cellStyle name="PSHeading" xfId="291" xr:uid="{00000000-0005-0000-0000-000023010000}"/>
    <cellStyle name="PSInt" xfId="292" xr:uid="{00000000-0005-0000-0000-000024010000}"/>
    <cellStyle name="PSSpacer" xfId="293" xr:uid="{00000000-0005-0000-0000-000025010000}"/>
    <cellStyle name="PStest" xfId="294" xr:uid="{00000000-0005-0000-0000-000026010000}"/>
    <cellStyle name="R00A" xfId="295" xr:uid="{00000000-0005-0000-0000-000027010000}"/>
    <cellStyle name="R00B" xfId="296" xr:uid="{00000000-0005-0000-0000-000028010000}"/>
    <cellStyle name="R00L" xfId="297" xr:uid="{00000000-0005-0000-0000-000029010000}"/>
    <cellStyle name="R01A" xfId="298" xr:uid="{00000000-0005-0000-0000-00002A010000}"/>
    <cellStyle name="R01B" xfId="299" xr:uid="{00000000-0005-0000-0000-00002B010000}"/>
    <cellStyle name="R01H" xfId="300" xr:uid="{00000000-0005-0000-0000-00002C010000}"/>
    <cellStyle name="R01L" xfId="301" xr:uid="{00000000-0005-0000-0000-00002D010000}"/>
    <cellStyle name="R02A" xfId="302" xr:uid="{00000000-0005-0000-0000-00002E010000}"/>
    <cellStyle name="R02B" xfId="303" xr:uid="{00000000-0005-0000-0000-00002F010000}"/>
    <cellStyle name="R02H" xfId="304" xr:uid="{00000000-0005-0000-0000-000030010000}"/>
    <cellStyle name="R02L" xfId="305" xr:uid="{00000000-0005-0000-0000-000031010000}"/>
    <cellStyle name="R03A" xfId="306" xr:uid="{00000000-0005-0000-0000-000032010000}"/>
    <cellStyle name="R03B" xfId="307" xr:uid="{00000000-0005-0000-0000-000033010000}"/>
    <cellStyle name="R03H" xfId="308" xr:uid="{00000000-0005-0000-0000-000034010000}"/>
    <cellStyle name="R03L" xfId="309" xr:uid="{00000000-0005-0000-0000-000035010000}"/>
    <cellStyle name="R04A" xfId="310" xr:uid="{00000000-0005-0000-0000-000036010000}"/>
    <cellStyle name="R04B" xfId="311" xr:uid="{00000000-0005-0000-0000-000037010000}"/>
    <cellStyle name="R04H" xfId="312" xr:uid="{00000000-0005-0000-0000-000038010000}"/>
    <cellStyle name="R04L" xfId="313" xr:uid="{00000000-0005-0000-0000-000039010000}"/>
    <cellStyle name="R05A" xfId="314" xr:uid="{00000000-0005-0000-0000-00003A010000}"/>
    <cellStyle name="R05B" xfId="315" xr:uid="{00000000-0005-0000-0000-00003B010000}"/>
    <cellStyle name="R05H" xfId="316" xr:uid="{00000000-0005-0000-0000-00003C010000}"/>
    <cellStyle name="R05L" xfId="317" xr:uid="{00000000-0005-0000-0000-00003D010000}"/>
    <cellStyle name="R06A" xfId="318" xr:uid="{00000000-0005-0000-0000-00003E010000}"/>
    <cellStyle name="R06B" xfId="319" xr:uid="{00000000-0005-0000-0000-00003F010000}"/>
    <cellStyle name="R06H" xfId="320" xr:uid="{00000000-0005-0000-0000-000040010000}"/>
    <cellStyle name="R06L" xfId="321" xr:uid="{00000000-0005-0000-0000-000041010000}"/>
    <cellStyle name="R07A" xfId="322" xr:uid="{00000000-0005-0000-0000-000042010000}"/>
    <cellStyle name="R07B" xfId="323" xr:uid="{00000000-0005-0000-0000-000043010000}"/>
    <cellStyle name="R07H" xfId="324" xr:uid="{00000000-0005-0000-0000-000044010000}"/>
    <cellStyle name="R07L"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6">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90"/>
  <sheetViews>
    <sheetView tabSelected="1" view="pageBreakPreview" zoomScale="70" zoomScaleNormal="70" zoomScaleSheetLayoutView="70" zoomScalePageLayoutView="50" workbookViewId="0">
      <selection activeCell="L25" sqref="L25"/>
    </sheetView>
  </sheetViews>
  <sheetFormatPr defaultColWidth="11.42578125" defaultRowHeight="15"/>
  <cols>
    <col min="1" max="1" width="4.7109375" style="127" customWidth="1"/>
    <col min="2" max="2" width="7.85546875" style="126" customWidth="1"/>
    <col min="3" max="3" width="1.85546875" style="127" customWidth="1"/>
    <col min="4" max="4" width="56" style="127" customWidth="1"/>
    <col min="5" max="5" width="51.5703125" style="127" customWidth="1"/>
    <col min="6" max="6" width="17.5703125" style="127" customWidth="1"/>
    <col min="7" max="7" width="20.7109375" style="127" customWidth="1"/>
    <col min="8" max="8" width="20" style="127" customWidth="1"/>
    <col min="9" max="9" width="11.28515625" style="127" customWidth="1"/>
    <col min="10" max="10" width="17" style="127" customWidth="1"/>
    <col min="11" max="11" width="11.140625" style="127" customWidth="1"/>
    <col min="12" max="12" width="21.140625" style="127" customWidth="1"/>
    <col min="13" max="13" width="17" style="127" customWidth="1"/>
    <col min="14" max="14" width="17.5703125" style="127" customWidth="1"/>
    <col min="15" max="15" width="11.140625" style="127" customWidth="1"/>
    <col min="16" max="16" width="21.85546875" style="127" customWidth="1"/>
    <col min="17" max="17" width="11.42578125" style="127" customWidth="1"/>
    <col min="18" max="18" width="20.5703125" style="127" bestFit="1" customWidth="1"/>
    <col min="19" max="16384" width="11.42578125" style="127"/>
  </cols>
  <sheetData>
    <row r="1" spans="1:16" ht="15.75">
      <c r="A1" s="739" t="s">
        <v>406</v>
      </c>
    </row>
    <row r="2" spans="1:16" ht="15.75">
      <c r="A2" s="739" t="s">
        <v>406</v>
      </c>
    </row>
    <row r="3" spans="1:16" ht="15.75">
      <c r="D3"/>
      <c r="E3" s="128"/>
      <c r="F3" s="128"/>
      <c r="G3" s="129"/>
      <c r="I3" s="130"/>
      <c r="J3" s="130"/>
      <c r="K3" s="130"/>
      <c r="N3" s="127" t="s">
        <v>406</v>
      </c>
      <c r="O3" s="131" t="s">
        <v>406</v>
      </c>
      <c r="P3" s="127" t="s">
        <v>406</v>
      </c>
    </row>
    <row r="4" spans="1:16">
      <c r="I4" s="127" t="s">
        <v>546</v>
      </c>
      <c r="L4" s="295">
        <v>2026</v>
      </c>
    </row>
    <row r="5" spans="1:16">
      <c r="D5" s="132"/>
      <c r="E5" s="132"/>
      <c r="F5" s="17" t="s">
        <v>321</v>
      </c>
      <c r="G5" s="133"/>
      <c r="H5" s="133"/>
      <c r="J5" s="132"/>
      <c r="K5" s="132"/>
      <c r="L5" s="132"/>
      <c r="M5" s="134"/>
      <c r="O5" s="135"/>
    </row>
    <row r="6" spans="1:16">
      <c r="D6" s="132"/>
      <c r="E6" s="136"/>
      <c r="F6" s="17" t="s">
        <v>195</v>
      </c>
      <c r="G6" s="133"/>
      <c r="H6" s="133"/>
      <c r="J6" s="136"/>
      <c r="K6" s="132"/>
      <c r="L6" s="132"/>
      <c r="M6" s="134"/>
    </row>
    <row r="7" spans="1:16">
      <c r="D7" s="132"/>
      <c r="E7" s="132"/>
      <c r="F7" s="2" t="str">
        <f>"Utilizing  Actual/Projected FERC Form 1 Data"</f>
        <v>Utilizing  Actual/Projected FERC Form 1 Data</v>
      </c>
      <c r="G7" s="133"/>
      <c r="H7" s="133"/>
      <c r="J7" s="132"/>
      <c r="K7" s="132"/>
      <c r="L7" s="132"/>
      <c r="M7" s="134"/>
    </row>
    <row r="8" spans="1:16">
      <c r="B8" s="137"/>
      <c r="C8" s="138"/>
      <c r="D8" s="132"/>
      <c r="H8" s="139"/>
      <c r="I8" s="139"/>
      <c r="J8" s="139"/>
      <c r="K8" s="139"/>
      <c r="L8" s="132"/>
      <c r="M8" s="132"/>
    </row>
    <row r="9" spans="1:16" ht="15.75">
      <c r="B9" s="137"/>
      <c r="C9" s="138"/>
      <c r="D9"/>
      <c r="E9" s="132"/>
      <c r="F9" s="140" t="s">
        <v>796</v>
      </c>
      <c r="G9" s="141"/>
      <c r="H9" s="132"/>
      <c r="I9" s="132"/>
      <c r="J9" s="132"/>
      <c r="K9" s="132"/>
      <c r="L9"/>
      <c r="M9" s="132"/>
    </row>
    <row r="10" spans="1:16">
      <c r="B10" s="137"/>
      <c r="C10" s="138"/>
      <c r="D10" s="132"/>
      <c r="E10" s="132"/>
      <c r="F10" s="142"/>
      <c r="G10" s="141"/>
      <c r="H10" s="132"/>
      <c r="I10" s="132"/>
      <c r="J10" s="132"/>
      <c r="K10" s="132"/>
      <c r="L10"/>
      <c r="M10" s="132"/>
    </row>
    <row r="11" spans="1:16">
      <c r="B11" s="137" t="s">
        <v>459</v>
      </c>
      <c r="C11" s="138"/>
      <c r="D11" s="132"/>
      <c r="E11" s="132"/>
      <c r="F11" s="132"/>
      <c r="G11" s="141"/>
      <c r="H11" s="132"/>
      <c r="I11" s="132"/>
      <c r="J11" s="132"/>
      <c r="K11" s="132"/>
      <c r="L11" s="138" t="s">
        <v>407</v>
      </c>
      <c r="M11" s="132"/>
    </row>
    <row r="12" spans="1:16" ht="15.75" thickBot="1">
      <c r="B12" s="143" t="s">
        <v>409</v>
      </c>
      <c r="C12" s="138"/>
      <c r="D12" s="132"/>
      <c r="E12" s="138"/>
      <c r="F12" s="132"/>
      <c r="G12" s="132"/>
      <c r="H12" s="132"/>
      <c r="I12" s="132"/>
      <c r="J12" s="132"/>
      <c r="K12" s="132"/>
      <c r="L12" s="144" t="s">
        <v>460</v>
      </c>
      <c r="M12" s="132"/>
    </row>
    <row r="13" spans="1:16">
      <c r="B13" s="137">
        <v>1</v>
      </c>
      <c r="C13" s="138"/>
      <c r="D13" s="133" t="s">
        <v>403</v>
      </c>
      <c r="E13" s="132" t="str">
        <f>"(ln "&amp;B199&amp;")"</f>
        <v>(ln 113)</v>
      </c>
      <c r="F13" s="132"/>
      <c r="G13" s="136"/>
      <c r="H13" s="145"/>
      <c r="I13" s="132"/>
      <c r="J13" s="132"/>
      <c r="K13" s="132"/>
      <c r="L13" s="146">
        <f>+L199</f>
        <v>22200358.514273893</v>
      </c>
      <c r="M13" s="132"/>
    </row>
    <row r="14" spans="1:16" ht="15.75" thickBot="1">
      <c r="B14" s="137"/>
      <c r="C14" s="138"/>
      <c r="E14" s="147"/>
      <c r="F14" s="136"/>
      <c r="G14" s="144" t="s">
        <v>410</v>
      </c>
      <c r="H14" s="136"/>
      <c r="I14" s="148" t="s">
        <v>411</v>
      </c>
      <c r="J14" s="148"/>
      <c r="K14" s="132"/>
      <c r="L14" s="136"/>
      <c r="M14" s="132"/>
    </row>
    <row r="15" spans="1:16">
      <c r="B15" s="137">
        <f>+B13+1</f>
        <v>2</v>
      </c>
      <c r="C15" s="138"/>
      <c r="D15" s="133" t="s">
        <v>458</v>
      </c>
      <c r="E15" s="147" t="str">
        <f>"(Worksheet E,  ln  "&amp;'WS E Rev Credits'!A31&amp;") (Note A) "</f>
        <v xml:space="preserve">(Worksheet E,  ln  8) (Note A) </v>
      </c>
      <c r="F15" s="136"/>
      <c r="G15" s="149">
        <f>+'WS E Rev Credits'!K31</f>
        <v>0</v>
      </c>
      <c r="H15" s="136"/>
      <c r="I15" s="150" t="s">
        <v>420</v>
      </c>
      <c r="J15" s="151">
        <v>1</v>
      </c>
      <c r="K15" s="136"/>
      <c r="L15" s="152">
        <f>+J15*G15</f>
        <v>0</v>
      </c>
      <c r="M15" s="132"/>
    </row>
    <row r="16" spans="1:16">
      <c r="B16" s="137"/>
      <c r="C16" s="138"/>
      <c r="D16" s="133"/>
      <c r="E16" s="147"/>
      <c r="F16" s="136"/>
      <c r="G16" s="149"/>
      <c r="H16" s="136"/>
      <c r="I16" s="150"/>
      <c r="J16" s="151"/>
      <c r="K16" s="136"/>
      <c r="L16" s="152"/>
      <c r="M16" s="132"/>
    </row>
    <row r="17" spans="2:13">
      <c r="B17" s="137">
        <f>+B15+1</f>
        <v>3</v>
      </c>
      <c r="C17" s="138"/>
      <c r="D17" s="133" t="s">
        <v>547</v>
      </c>
      <c r="E17" s="127" t="str">
        <f>"Worksheet E, ln "&amp;'WS E Rev Credits'!A33&amp;") (Note X) "</f>
        <v xml:space="preserve">Worksheet E, ln 9) (Note X) </v>
      </c>
      <c r="F17" s="136"/>
      <c r="L17" s="131">
        <f>'WS E Rev Credits'!K33</f>
        <v>0</v>
      </c>
      <c r="M17" s="132"/>
    </row>
    <row r="18" spans="2:13" ht="30.75" thickBot="1">
      <c r="B18" s="137">
        <f>+B17+1</f>
        <v>4</v>
      </c>
      <c r="C18" s="138"/>
      <c r="D18" s="153" t="s">
        <v>244</v>
      </c>
      <c r="E18" s="147" t="str">
        <f>"(ln "&amp;B13&amp;"  less ln " &amp;B15&amp;" plus ln 3)"</f>
        <v>(ln 1  less ln 2 plus ln 3)</v>
      </c>
      <c r="F18" s="132"/>
      <c r="H18" s="136"/>
      <c r="I18" s="150"/>
      <c r="J18" s="136"/>
      <c r="K18" s="136"/>
      <c r="L18" s="154">
        <f>+L13-L15+L17</f>
        <v>22200358.514273893</v>
      </c>
      <c r="M18" s="132"/>
    </row>
    <row r="19" spans="2:13" ht="15.75" thickTop="1">
      <c r="B19" s="137"/>
      <c r="C19" s="138"/>
      <c r="D19" s="133"/>
      <c r="E19" s="147"/>
      <c r="F19" s="132"/>
      <c r="H19" s="136"/>
      <c r="I19" s="150"/>
      <c r="J19" s="136"/>
      <c r="K19" s="136"/>
      <c r="L19" s="152"/>
      <c r="M19" s="132"/>
    </row>
    <row r="20" spans="2:13">
      <c r="B20" s="137"/>
      <c r="C20" s="138"/>
      <c r="D20" s="133"/>
      <c r="E20" s="147"/>
      <c r="F20" s="132"/>
      <c r="H20" s="136"/>
      <c r="I20" s="150"/>
      <c r="J20" s="136"/>
      <c r="K20" s="136"/>
      <c r="L20" s="152"/>
      <c r="M20" s="132"/>
    </row>
    <row r="21" spans="2:13" ht="15" customHeight="1">
      <c r="B21" s="1132"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32"/>
      <c r="D21" s="1132"/>
      <c r="E21" s="1132"/>
      <c r="F21" s="1132"/>
      <c r="G21" s="1132"/>
      <c r="H21" s="1132"/>
      <c r="I21" s="1132"/>
    </row>
    <row r="22" spans="2:13" ht="35.25" customHeight="1">
      <c r="B22" s="1132"/>
      <c r="C22" s="1132"/>
      <c r="D22" s="1132"/>
      <c r="E22" s="1132"/>
      <c r="F22" s="1132"/>
      <c r="G22" s="1132"/>
      <c r="H22" s="1132"/>
      <c r="I22" s="1132"/>
    </row>
    <row r="23" spans="2:13" ht="15" customHeight="1">
      <c r="B23" s="155"/>
      <c r="C23" s="155"/>
      <c r="D23" s="155"/>
      <c r="E23" s="155"/>
      <c r="F23" s="155"/>
      <c r="G23" s="155"/>
      <c r="H23" s="155"/>
      <c r="I23" s="155"/>
    </row>
    <row r="24" spans="2:13">
      <c r="B24" s="137">
        <f>+B18+1</f>
        <v>5</v>
      </c>
      <c r="C24" s="138"/>
      <c r="D24" s="133" t="s">
        <v>548</v>
      </c>
      <c r="E24" s="147"/>
      <c r="F24" s="136"/>
      <c r="G24" s="913">
        <f>+'WS J PROJECTED RTEP RR'!M26</f>
        <v>0</v>
      </c>
      <c r="H24" s="136"/>
      <c r="I24" s="150" t="s">
        <v>420</v>
      </c>
      <c r="J24" s="151">
        <v>1</v>
      </c>
      <c r="K24" s="132"/>
      <c r="L24" s="152">
        <f>+J24*G24</f>
        <v>0</v>
      </c>
      <c r="M24" s="132"/>
    </row>
    <row r="25" spans="2:13">
      <c r="B25" s="137"/>
      <c r="C25" s="138"/>
      <c r="D25" s="133"/>
      <c r="E25" s="147"/>
      <c r="F25" s="136"/>
      <c r="G25" s="149"/>
      <c r="H25" s="136"/>
      <c r="I25" s="136"/>
      <c r="J25" s="151"/>
      <c r="K25" s="132"/>
      <c r="L25" s="152"/>
      <c r="M25" s="132"/>
    </row>
    <row r="26" spans="2:13">
      <c r="B26" s="137">
        <f>+B24+1</f>
        <v>6</v>
      </c>
      <c r="C26" s="138"/>
      <c r="D26" s="133" t="s">
        <v>168</v>
      </c>
      <c r="E26" s="147"/>
      <c r="F26" s="132"/>
      <c r="G26" s="156"/>
      <c r="H26" s="132"/>
      <c r="J26" s="132"/>
      <c r="K26" s="132"/>
      <c r="M26" s="132"/>
    </row>
    <row r="27" spans="2:13">
      <c r="B27" s="137">
        <f>B26+1</f>
        <v>7</v>
      </c>
      <c r="C27" s="138"/>
      <c r="D27" s="132" t="s">
        <v>41</v>
      </c>
      <c r="E27" s="132" t="str">
        <f>"( (ln "&amp;B13&amp;"- ln "&amp;B157&amp;")/((ln "&amp;$B$83&amp;" ) x 100) )"</f>
        <v>( (ln 1- ln 80)/((ln 33 ) x 100) )</v>
      </c>
      <c r="F27" s="138"/>
      <c r="G27" s="138"/>
      <c r="H27" s="138"/>
      <c r="I27" s="157"/>
      <c r="J27" s="157"/>
      <c r="K27" s="157"/>
      <c r="L27" s="158">
        <f>IF((L83)=0,0,(L13-L157)/(L83))</f>
        <v>0.15761842385421199</v>
      </c>
      <c r="M27" s="132"/>
    </row>
    <row r="28" spans="2:13">
      <c r="B28" s="137">
        <f>B27+1</f>
        <v>8</v>
      </c>
      <c r="C28" s="138"/>
      <c r="D28" s="132" t="s">
        <v>42</v>
      </c>
      <c r="E28" s="132" t="str">
        <f>"(ln "&amp;B27&amp;" / 12)"</f>
        <v>(ln 7 / 12)</v>
      </c>
      <c r="F28" s="138"/>
      <c r="G28" s="138"/>
      <c r="H28" s="138"/>
      <c r="I28" s="157"/>
      <c r="J28" s="157"/>
      <c r="K28" s="157"/>
      <c r="L28" s="158">
        <f>L27/12</f>
        <v>1.3134868654517665E-2</v>
      </c>
      <c r="M28" s="132"/>
    </row>
    <row r="29" spans="2:13">
      <c r="B29" s="137"/>
      <c r="C29" s="138"/>
      <c r="D29" s="132"/>
      <c r="E29" s="132"/>
      <c r="F29" s="138"/>
      <c r="G29" s="138"/>
      <c r="H29" s="138"/>
      <c r="I29" s="157"/>
      <c r="J29" s="157"/>
      <c r="K29" s="157"/>
      <c r="L29" s="158"/>
      <c r="M29" s="132"/>
    </row>
    <row r="30" spans="2:13">
      <c r="B30" s="137">
        <f>B28+1</f>
        <v>9</v>
      </c>
      <c r="C30" s="138"/>
      <c r="D30" s="133" t="str">
        <f>"NET PLANT CARRYING CHARGE ON LINE "&amp;B27&amp;" , w/o depreciation or ROE incentives (Note B)"</f>
        <v>NET PLANT CARRYING CHARGE ON LINE 7 , w/o depreciation or ROE incentives (Note B)</v>
      </c>
      <c r="E30" s="132"/>
      <c r="F30" s="138"/>
      <c r="G30" s="138"/>
      <c r="H30" s="138"/>
      <c r="I30" s="157"/>
      <c r="J30" s="157"/>
      <c r="K30" s="157"/>
      <c r="L30" s="158"/>
      <c r="M30" s="132"/>
    </row>
    <row r="31" spans="2:13">
      <c r="B31" s="137">
        <f>B30+1</f>
        <v>10</v>
      </c>
      <c r="C31" s="138"/>
      <c r="D31" s="132" t="s">
        <v>41</v>
      </c>
      <c r="E31" s="132" t="str">
        <f>"( (ln "&amp;B13&amp;"- ln "&amp;B157&amp;" - ln "&amp;B161&amp;")/((ln "&amp;$B$83&amp;") x 100) )"</f>
        <v>( (ln 1- ln 80 - ln 83)/((ln 33) x 100) )</v>
      </c>
      <c r="F31" s="138"/>
      <c r="G31" s="138"/>
      <c r="H31" s="138"/>
      <c r="I31" s="157"/>
      <c r="J31" s="157"/>
      <c r="K31" s="157"/>
      <c r="L31" s="158">
        <f>IF(L83=0,0,(L13-L157-L161)/L83)</f>
        <v>0.12634847140798422</v>
      </c>
      <c r="M31" s="132"/>
    </row>
    <row r="32" spans="2:13">
      <c r="B32" s="137"/>
      <c r="C32" s="138"/>
      <c r="D32" s="132"/>
      <c r="E32" s="132"/>
      <c r="F32" s="138"/>
      <c r="G32" s="138"/>
      <c r="H32" s="138"/>
      <c r="I32" s="157"/>
      <c r="J32" s="157"/>
      <c r="K32" s="157"/>
      <c r="L32" s="158"/>
      <c r="M32" s="132"/>
    </row>
    <row r="33" spans="2:13">
      <c r="B33" s="137">
        <f>B31+1</f>
        <v>11</v>
      </c>
      <c r="C33" s="138"/>
      <c r="D33" s="133" t="str">
        <f>"NET PLANT CARRYING CHARGE ON LINE "&amp;B31&amp;", w/o Return, income taxes or ROE incentives (Note B)"</f>
        <v>NET PLANT CARRYING CHARGE ON LINE 10, w/o Return, income taxes or ROE incentives (Note B)</v>
      </c>
      <c r="E33" s="132"/>
      <c r="F33" s="41"/>
      <c r="G33" s="41"/>
      <c r="H33" s="41"/>
      <c r="I33" s="41"/>
      <c r="J33" s="41"/>
      <c r="K33" s="41"/>
      <c r="L33" s="41"/>
      <c r="M33"/>
    </row>
    <row r="34" spans="2:13">
      <c r="B34" s="137">
        <f>B33+1</f>
        <v>12</v>
      </c>
      <c r="C34" s="138"/>
      <c r="D34" s="132" t="s">
        <v>41</v>
      </c>
      <c r="E34" s="132" t="str">
        <f>"( (ln "&amp;B13&amp;" - ln "&amp;B157&amp;" - ln "&amp;B161&amp;" - ln "&amp;B189&amp;" - ln "&amp;B191&amp;") /((ln "&amp;$B$83&amp;") x 100) )"</f>
        <v>( (ln 1 - ln 80 - ln 83 - ln 108 - ln 109) /((ln 33) x 100) )</v>
      </c>
      <c r="F34" s="41"/>
      <c r="G34" s="41"/>
      <c r="H34" s="41"/>
      <c r="I34" s="41"/>
      <c r="J34" s="41"/>
      <c r="K34" s="41"/>
      <c r="L34" s="159">
        <f>IF(L83=0,0,(L13-L157-L161-L189-L191)/L83)</f>
        <v>3.3995632412905812E-2</v>
      </c>
      <c r="M34"/>
    </row>
    <row r="35" spans="2:13">
      <c r="B35" s="137"/>
      <c r="C35" s="138"/>
      <c r="D35" s="132"/>
      <c r="E35" s="132"/>
      <c r="F35" s="138"/>
      <c r="G35" s="138"/>
      <c r="H35" s="138"/>
      <c r="I35" s="157"/>
      <c r="J35" s="157"/>
      <c r="K35" s="157"/>
      <c r="L35" s="158"/>
      <c r="M35" s="160"/>
    </row>
    <row r="36" spans="2:13">
      <c r="B36" s="137">
        <f>B34+1</f>
        <v>13</v>
      </c>
      <c r="C36" s="138"/>
      <c r="D36" s="133" t="s">
        <v>549</v>
      </c>
      <c r="E36" s="132"/>
      <c r="F36" s="138"/>
      <c r="G36" s="138"/>
      <c r="H36" s="138"/>
      <c r="I36" s="157"/>
      <c r="J36" s="157"/>
      <c r="K36" s="157"/>
      <c r="L36" s="293">
        <f>+'WS J PROJECTED RTEP RR'!O26</f>
        <v>0</v>
      </c>
      <c r="M36" s="132"/>
    </row>
    <row r="37" spans="2:13">
      <c r="B37" s="137"/>
      <c r="C37" s="138"/>
      <c r="E37" s="132"/>
      <c r="F37" s="138"/>
      <c r="G37" s="138"/>
      <c r="H37" s="138"/>
      <c r="I37" s="157"/>
      <c r="J37" s="157"/>
      <c r="K37" s="157"/>
      <c r="L37" s="158"/>
      <c r="M37" s="132"/>
    </row>
    <row r="38" spans="2:13">
      <c r="B38" s="127"/>
      <c r="C38" s="138"/>
      <c r="E38" s="132"/>
      <c r="F38" s="138"/>
      <c r="G38" s="138"/>
      <c r="H38" s="138"/>
      <c r="I38" s="157"/>
      <c r="J38" s="157"/>
      <c r="K38" s="157"/>
      <c r="L38" s="158"/>
      <c r="M38" s="132"/>
    </row>
    <row r="39" spans="2:13" ht="15.75">
      <c r="B39" s="137">
        <f>+B36+1</f>
        <v>14</v>
      </c>
      <c r="C39" s="138"/>
      <c r="D39" s="1138" t="s">
        <v>207</v>
      </c>
      <c r="E39" s="1138"/>
      <c r="F39" s="1138"/>
      <c r="G39" s="1138"/>
      <c r="H39" s="1138"/>
      <c r="I39" s="1138"/>
      <c r="J39" s="1138"/>
      <c r="K39" s="1138"/>
      <c r="L39" s="1138"/>
      <c r="M39" s="132"/>
    </row>
    <row r="40" spans="2:13">
      <c r="B40" s="137"/>
      <c r="C40" s="138"/>
      <c r="E40" s="132"/>
      <c r="F40" s="138"/>
      <c r="G40" s="138"/>
      <c r="H40" s="138"/>
      <c r="I40" s="157"/>
      <c r="J40" s="157"/>
      <c r="K40" s="157"/>
      <c r="L40" s="158"/>
      <c r="M40" s="132"/>
    </row>
    <row r="41" spans="2:13">
      <c r="B41" s="137">
        <f>+B39+1</f>
        <v>15</v>
      </c>
      <c r="C41" s="138"/>
      <c r="D41" s="133" t="s">
        <v>209</v>
      </c>
      <c r="E41" s="132" t="str">
        <f>"Line "&amp;B137&amp;" Below"</f>
        <v>Line 63 Below</v>
      </c>
      <c r="F41" s="138"/>
      <c r="H41" s="138"/>
      <c r="I41" s="157"/>
      <c r="J41" s="157"/>
      <c r="K41" s="157"/>
      <c r="L41" s="161">
        <f>+G137</f>
        <v>91386.167447652377</v>
      </c>
      <c r="M41" s="132"/>
    </row>
    <row r="42" spans="2:13">
      <c r="B42" s="137">
        <f>+B41+1</f>
        <v>16</v>
      </c>
      <c r="C42" s="138"/>
      <c r="D42" s="133" t="s">
        <v>274</v>
      </c>
      <c r="E42" s="132"/>
      <c r="F42" s="138"/>
      <c r="H42" s="138"/>
      <c r="I42" s="157"/>
      <c r="J42" s="157"/>
      <c r="K42" s="157"/>
      <c r="L42" s="116">
        <f>'WS F Misc Exp'!D28</f>
        <v>0</v>
      </c>
      <c r="M42" s="132"/>
    </row>
    <row r="43" spans="2:13">
      <c r="B43" s="137">
        <f>+B42+1</f>
        <v>17</v>
      </c>
      <c r="C43" s="138"/>
      <c r="D43" s="133" t="s">
        <v>275</v>
      </c>
      <c r="E43" s="132"/>
      <c r="F43" s="138"/>
      <c r="H43" s="138"/>
      <c r="I43" s="157"/>
      <c r="J43" s="157"/>
      <c r="K43" s="157"/>
      <c r="L43" s="116">
        <f>'WS F Misc Exp'!D32</f>
        <v>0</v>
      </c>
      <c r="M43" s="132"/>
    </row>
    <row r="44" spans="2:13">
      <c r="B44" s="137"/>
      <c r="C44" s="138"/>
      <c r="E44" s="132"/>
      <c r="F44" s="138"/>
      <c r="H44" s="138"/>
      <c r="I44" s="157"/>
      <c r="J44" s="157"/>
      <c r="K44" s="157"/>
      <c r="L44" s="138"/>
      <c r="M44" s="132"/>
    </row>
    <row r="45" spans="2:13" ht="15.75" thickBot="1">
      <c r="B45" s="137">
        <f>+B43+1</f>
        <v>18</v>
      </c>
      <c r="C45" s="138"/>
      <c r="D45" s="133" t="s">
        <v>208</v>
      </c>
      <c r="E45" s="145" t="str">
        <f>"(Line "&amp;B41&amp;" - Line "&amp;B42&amp;" - Line "&amp;B43&amp;")"</f>
        <v>(Line 15 - Line 16 - Line 17)</v>
      </c>
      <c r="F45" s="138"/>
      <c r="H45" s="138"/>
      <c r="I45" s="157"/>
      <c r="J45" s="157"/>
      <c r="K45" s="157"/>
      <c r="L45" s="162">
        <f>+L41-L42-L43</f>
        <v>91386.167447652377</v>
      </c>
      <c r="M45" s="132"/>
    </row>
    <row r="46" spans="2:13" ht="15.75" thickTop="1">
      <c r="B46" s="137"/>
      <c r="C46" s="138"/>
      <c r="E46" s="132"/>
      <c r="F46" s="138"/>
      <c r="G46" s="138"/>
      <c r="H46" s="138"/>
      <c r="I46" s="157"/>
      <c r="J46" s="157"/>
      <c r="K46" s="157"/>
      <c r="L46" s="158"/>
      <c r="M46" s="132"/>
    </row>
    <row r="47" spans="2:13">
      <c r="B47" s="137"/>
      <c r="C47" s="138"/>
      <c r="E47" s="132"/>
      <c r="F47" s="138"/>
      <c r="G47" s="138"/>
      <c r="H47" s="138"/>
      <c r="I47" s="157"/>
      <c r="J47" s="157"/>
      <c r="K47" s="157"/>
      <c r="L47" s="158"/>
      <c r="M47" s="132"/>
    </row>
    <row r="48" spans="2:13">
      <c r="B48" s="137"/>
      <c r="C48" s="138"/>
      <c r="E48" s="132"/>
      <c r="F48" s="138"/>
      <c r="G48" s="138"/>
      <c r="H48" s="138"/>
      <c r="I48" s="157"/>
      <c r="J48" s="157"/>
      <c r="K48" s="157"/>
      <c r="L48" s="158"/>
      <c r="M48" s="132"/>
    </row>
    <row r="49" spans="2:16">
      <c r="D49" s="132"/>
      <c r="E49" s="132"/>
      <c r="G49" s="145"/>
      <c r="H49" s="132"/>
      <c r="I49" s="132"/>
      <c r="J49" s="132"/>
      <c r="K49" s="132"/>
      <c r="L49" s="132"/>
      <c r="M49" s="163"/>
    </row>
    <row r="50" spans="2:16">
      <c r="D50" s="132"/>
      <c r="E50" s="132"/>
      <c r="F50" s="138"/>
      <c r="G50" s="145"/>
      <c r="H50" s="132"/>
      <c r="I50" s="132"/>
      <c r="J50" s="132"/>
      <c r="K50" s="132"/>
      <c r="L50" s="132"/>
      <c r="M50" s="163"/>
      <c r="P50" s="164"/>
    </row>
    <row r="51" spans="2:16">
      <c r="D51" s="132"/>
      <c r="E51" s="132"/>
      <c r="F51" s="138" t="str">
        <f>F5</f>
        <v>AEPTCo subsidiaries in PJM</v>
      </c>
      <c r="G51" s="145"/>
      <c r="H51" s="132"/>
      <c r="I51" s="132"/>
      <c r="J51" s="132"/>
      <c r="K51" s="132"/>
      <c r="L51" s="132"/>
      <c r="M51" s="163"/>
      <c r="P51" s="164"/>
    </row>
    <row r="52" spans="2:16">
      <c r="D52" s="132"/>
      <c r="E52" s="136"/>
      <c r="F52" s="138" t="str">
        <f>F6</f>
        <v>Transmission Cost of Service Formula Rate</v>
      </c>
      <c r="G52" s="136"/>
      <c r="H52" s="136"/>
      <c r="I52" s="136"/>
      <c r="J52" s="136"/>
      <c r="K52" s="136"/>
      <c r="L52" s="136"/>
      <c r="M52" s="165"/>
      <c r="P52" s="166"/>
    </row>
    <row r="53" spans="2:16">
      <c r="D53" s="132"/>
      <c r="E53" s="136"/>
      <c r="F53" s="150" t="str">
        <f>F7</f>
        <v>Utilizing  Actual/Projected FERC Form 1 Data</v>
      </c>
      <c r="G53" s="136"/>
      <c r="H53" s="136"/>
      <c r="I53" s="136"/>
      <c r="J53" s="136"/>
      <c r="K53" s="136"/>
      <c r="L53" s="136"/>
      <c r="M53" s="167"/>
      <c r="P53" s="166"/>
    </row>
    <row r="54" spans="2:16">
      <c r="D54" s="132"/>
      <c r="E54" s="136"/>
      <c r="F54" s="138"/>
      <c r="G54" s="136"/>
      <c r="H54" s="136"/>
      <c r="I54" s="136"/>
      <c r="J54" s="136"/>
      <c r="K54" s="136"/>
      <c r="L54" s="136"/>
      <c r="M54" s="136"/>
      <c r="P54" s="166"/>
    </row>
    <row r="55" spans="2:16">
      <c r="D55" s="132"/>
      <c r="E55" s="136"/>
      <c r="F55" s="138" t="str">
        <f>F9</f>
        <v>AEP Appalachian Transmission Company</v>
      </c>
      <c r="G55" s="136"/>
      <c r="H55" s="136"/>
      <c r="I55" s="136"/>
      <c r="J55" s="136"/>
      <c r="K55" s="136"/>
      <c r="L55" s="136"/>
      <c r="M55" s="136"/>
      <c r="P55" s="166"/>
    </row>
    <row r="56" spans="2:16">
      <c r="D56" s="132"/>
      <c r="E56" s="150"/>
      <c r="F56" s="150"/>
      <c r="G56" s="150"/>
      <c r="H56" s="150"/>
      <c r="I56" s="150"/>
      <c r="J56" s="150"/>
      <c r="K56" s="150"/>
      <c r="L56" s="136"/>
      <c r="M56" s="136"/>
      <c r="P56" s="166"/>
    </row>
    <row r="57" spans="2:16">
      <c r="D57" s="138" t="s">
        <v>413</v>
      </c>
      <c r="E57" s="138" t="s">
        <v>414</v>
      </c>
      <c r="F57" s="138"/>
      <c r="G57" s="138" t="s">
        <v>415</v>
      </c>
      <c r="H57" s="136" t="s">
        <v>406</v>
      </c>
      <c r="I57" s="1133" t="s">
        <v>416</v>
      </c>
      <c r="J57" s="1134"/>
      <c r="K57" s="136"/>
      <c r="L57" s="139" t="s">
        <v>417</v>
      </c>
      <c r="M57" s="136"/>
    </row>
    <row r="58" spans="2:16">
      <c r="B58" s="127"/>
      <c r="D58" s="41"/>
      <c r="E58" s="41"/>
      <c r="F58" s="41"/>
      <c r="G58" s="161"/>
      <c r="H58" s="136"/>
      <c r="I58" s="136"/>
      <c r="J58" s="169"/>
      <c r="K58" s="136"/>
      <c r="M58" s="136"/>
    </row>
    <row r="59" spans="2:16" ht="15.75">
      <c r="B59" s="170"/>
      <c r="C59" s="138"/>
      <c r="D59" s="41"/>
      <c r="E59" s="171" t="s">
        <v>386</v>
      </c>
      <c r="F59" s="172"/>
      <c r="G59" s="136"/>
      <c r="H59" s="136"/>
      <c r="I59" s="136"/>
      <c r="J59" s="138"/>
      <c r="K59" s="136"/>
      <c r="L59" s="173" t="s">
        <v>410</v>
      </c>
      <c r="M59" s="136"/>
      <c r="P59" s="164"/>
    </row>
    <row r="60" spans="2:16" ht="15.75">
      <c r="B60" s="127"/>
      <c r="C60" s="138"/>
      <c r="D60" s="174" t="s">
        <v>385</v>
      </c>
      <c r="E60" s="175" t="s">
        <v>404</v>
      </c>
      <c r="F60" s="136"/>
      <c r="G60" s="174" t="s">
        <v>372</v>
      </c>
      <c r="H60" s="176"/>
      <c r="I60" s="1135" t="s">
        <v>411</v>
      </c>
      <c r="J60" s="1136"/>
      <c r="K60" s="176"/>
      <c r="L60" s="174" t="s">
        <v>407</v>
      </c>
      <c r="M60" s="136"/>
    </row>
    <row r="61" spans="2:16">
      <c r="B61" s="137" t="str">
        <f>B11</f>
        <v>Line</v>
      </c>
      <c r="C61" s="138"/>
      <c r="D61" s="132"/>
      <c r="E61" s="136"/>
      <c r="F61" s="136"/>
      <c r="G61" s="177" t="s">
        <v>148</v>
      </c>
      <c r="H61" s="136"/>
      <c r="I61" s="136"/>
      <c r="J61" s="136"/>
      <c r="K61" s="136"/>
      <c r="L61" s="136"/>
      <c r="M61" s="136"/>
    </row>
    <row r="62" spans="2:16" ht="15.75" thickBot="1">
      <c r="B62" s="143" t="str">
        <f>B12</f>
        <v>No.</v>
      </c>
      <c r="C62" s="138"/>
      <c r="D62" s="132" t="s">
        <v>373</v>
      </c>
      <c r="E62" s="150"/>
      <c r="F62" s="150"/>
      <c r="G62" s="136"/>
      <c r="H62" s="136"/>
      <c r="I62" s="150"/>
      <c r="J62" s="136"/>
      <c r="K62" s="136"/>
      <c r="L62" s="136"/>
      <c r="M62" s="136"/>
    </row>
    <row r="63" spans="2:16">
      <c r="B63" s="137">
        <f>+B45+1</f>
        <v>19</v>
      </c>
      <c r="C63" s="179"/>
      <c r="D63" s="180" t="s">
        <v>419</v>
      </c>
      <c r="E63" s="136" t="str">
        <f>"(Worksheet A ln "&amp;'WS A - Rate Base Support'!A23&amp;"."&amp;'WS A - Rate Base Support'!C8 &amp;" &amp; Ln "&amp;B215&amp;")"</f>
        <v>(Worksheet A ln 14.(b) &amp; Ln 117)</v>
      </c>
      <c r="F63" s="181"/>
      <c r="G63" s="149">
        <f>'WS A - Rate Base Support'!C23</f>
        <v>160351300.63081348</v>
      </c>
      <c r="H63" s="149"/>
      <c r="I63" s="203" t="s">
        <v>420</v>
      </c>
      <c r="J63" s="151"/>
      <c r="K63" s="182"/>
      <c r="L63" s="183">
        <f>+L215</f>
        <v>160351300.63081348</v>
      </c>
      <c r="M63" s="182"/>
    </row>
    <row r="64" spans="2:16">
      <c r="B64" s="137">
        <f>+B63+1</f>
        <v>20</v>
      </c>
      <c r="C64" s="179"/>
      <c r="D64" s="132" t="s">
        <v>171</v>
      </c>
      <c r="E64" s="136" t="str">
        <f>"(Worksheet A ln "&amp;'WS A - Rate Base Support'!A23&amp;"."&amp;'WS A - Rate Base Support'!D8 &amp;")"</f>
        <v>(Worksheet A ln 14.(c))</v>
      </c>
      <c r="F64" s="181"/>
      <c r="G64" s="149">
        <f>'WS A - Rate Base Support'!D23</f>
        <v>0</v>
      </c>
      <c r="H64" s="149"/>
      <c r="I64" s="203" t="s">
        <v>412</v>
      </c>
      <c r="J64" s="151">
        <f>J140</f>
        <v>1</v>
      </c>
      <c r="K64" s="182"/>
      <c r="L64" s="183">
        <f>+G64*J64</f>
        <v>0</v>
      </c>
      <c r="M64" s="182"/>
    </row>
    <row r="65" spans="2:15">
      <c r="B65" s="137">
        <f>+B64+1</f>
        <v>21</v>
      </c>
      <c r="C65" s="179"/>
      <c r="D65" s="132" t="s">
        <v>421</v>
      </c>
      <c r="E65" s="136" t="str">
        <f>"(Worksheet A ln "&amp;'WS A - Rate Base Support'!A23&amp;"."&amp;'WS A - Rate Base Support'!E8 &amp;")"</f>
        <v>(Worksheet A ln 14.(d))</v>
      </c>
      <c r="F65" s="136"/>
      <c r="G65" s="149">
        <f>'WS A - Rate Base Support'!E23</f>
        <v>2117384.3933291445</v>
      </c>
      <c r="H65" s="149"/>
      <c r="I65" s="150" t="s">
        <v>422</v>
      </c>
      <c r="J65" s="151">
        <f>L235</f>
        <v>1</v>
      </c>
      <c r="K65" s="136"/>
      <c r="L65" s="149">
        <f>+J65*G65</f>
        <v>2117384.3933291445</v>
      </c>
      <c r="M65" s="136"/>
    </row>
    <row r="66" spans="2:15">
      <c r="B66" s="137">
        <f>+B65+1</f>
        <v>22</v>
      </c>
      <c r="C66" s="179"/>
      <c r="D66" s="132" t="s">
        <v>170</v>
      </c>
      <c r="E66" s="136" t="str">
        <f>"(Worksheet A ln "&amp;'WS A - Rate Base Support'!A23&amp;"."&amp;'WS A - Rate Base Support'!F8 &amp;")"</f>
        <v>(Worksheet A ln 14.(e))</v>
      </c>
      <c r="F66" s="136"/>
      <c r="G66" s="149">
        <f>'WS A - Rate Base Support'!F23</f>
        <v>0</v>
      </c>
      <c r="H66" s="149"/>
      <c r="I66" s="150" t="s">
        <v>422</v>
      </c>
      <c r="J66" s="151">
        <f>L235</f>
        <v>1</v>
      </c>
      <c r="K66" s="136"/>
      <c r="L66" s="149">
        <f>+G66*J66</f>
        <v>0</v>
      </c>
      <c r="M66" s="136"/>
    </row>
    <row r="67" spans="2:15">
      <c r="B67" s="137">
        <f>+B66+1</f>
        <v>23</v>
      </c>
      <c r="C67" s="179"/>
      <c r="D67" s="132" t="s">
        <v>423</v>
      </c>
      <c r="E67" s="136" t="str">
        <f>"(Worksheet A ln "&amp;'WS A - Rate Base Support'!A23&amp;"."&amp;'WS A - Rate Base Support'!G8 &amp;")"</f>
        <v>(Worksheet A ln 14.(f))</v>
      </c>
      <c r="F67" s="136"/>
      <c r="G67" s="149">
        <f>'WS A - Rate Base Support'!G23</f>
        <v>0</v>
      </c>
      <c r="H67" s="149"/>
      <c r="I67" s="150" t="s">
        <v>422</v>
      </c>
      <c r="J67" s="151">
        <f>L235</f>
        <v>1</v>
      </c>
      <c r="K67" s="136"/>
      <c r="L67" s="149">
        <f>+J67*G67</f>
        <v>0</v>
      </c>
      <c r="M67" s="136"/>
      <c r="N67" s="132"/>
      <c r="O67" s="132"/>
    </row>
    <row r="68" spans="2:15">
      <c r="B68" s="137"/>
      <c r="C68" s="179"/>
      <c r="D68" s="132"/>
      <c r="E68" s="136"/>
      <c r="F68" s="136"/>
      <c r="G68" s="149"/>
      <c r="H68" s="149"/>
      <c r="I68" s="150"/>
      <c r="J68" s="151"/>
      <c r="K68" s="136"/>
      <c r="L68" s="233"/>
      <c r="M68" s="136"/>
      <c r="N68" s="132"/>
      <c r="O68" s="132"/>
    </row>
    <row r="69" spans="2:15" ht="15.75" thickBot="1">
      <c r="B69" s="137"/>
      <c r="C69" s="179"/>
      <c r="D69" s="132"/>
      <c r="E69" s="136"/>
      <c r="F69" s="136"/>
      <c r="G69" s="184"/>
      <c r="H69" s="149"/>
      <c r="I69" s="150"/>
      <c r="J69" s="151"/>
      <c r="K69" s="136"/>
      <c r="L69" s="1111"/>
      <c r="M69" s="136"/>
      <c r="N69" s="132"/>
      <c r="O69" s="132"/>
    </row>
    <row r="70" spans="2:15" ht="15.75">
      <c r="B70" s="137">
        <f>+B67+1</f>
        <v>24</v>
      </c>
      <c r="C70" s="179"/>
      <c r="D70" s="132" t="s">
        <v>371</v>
      </c>
      <c r="E70" s="136" t="str">
        <f>"(Sum of Lines: "&amp;B63&amp;" to "&amp;B67&amp;")"</f>
        <v>(Sum of Lines: 19 to 23)</v>
      </c>
      <c r="F70" s="98"/>
      <c r="G70" s="149">
        <f>SUM(G63:G69)</f>
        <v>162468685.02414262</v>
      </c>
      <c r="H70" s="149"/>
      <c r="I70" s="235" t="s">
        <v>978</v>
      </c>
      <c r="J70" s="1104">
        <f>IF(G70=0,0,L70/G70)</f>
        <v>1</v>
      </c>
      <c r="K70" s="136"/>
      <c r="L70" s="149">
        <f>SUM(L63:L69)</f>
        <v>162468685.02414262</v>
      </c>
      <c r="M70" s="136"/>
      <c r="N70" s="132"/>
      <c r="O70" s="132"/>
    </row>
    <row r="71" spans="2:15" ht="15.75">
      <c r="B71" s="137"/>
      <c r="C71" s="138"/>
      <c r="D71" s="132"/>
      <c r="E71" s="354"/>
      <c r="F71" s="98"/>
      <c r="G71" s="149"/>
      <c r="H71" s="149"/>
      <c r="I71" s="235" t="s">
        <v>498</v>
      </c>
      <c r="J71" s="1106">
        <f>+IF(L63=0,0,L63/(G63))</f>
        <v>1</v>
      </c>
      <c r="K71" s="136"/>
      <c r="L71" s="149"/>
      <c r="M71" s="136"/>
      <c r="N71" s="185"/>
      <c r="O71" s="132"/>
    </row>
    <row r="72" spans="2:15">
      <c r="B72" s="137">
        <f>+B70+1</f>
        <v>25</v>
      </c>
      <c r="C72" s="138"/>
      <c r="D72" s="132" t="s">
        <v>353</v>
      </c>
      <c r="E72" s="150"/>
      <c r="F72" s="150"/>
      <c r="G72" s="149"/>
      <c r="H72" s="1107"/>
      <c r="I72" s="150"/>
      <c r="J72" s="1108"/>
      <c r="K72" s="136"/>
      <c r="L72" s="149"/>
      <c r="M72" s="136"/>
      <c r="N72" s="136"/>
      <c r="O72" s="136"/>
    </row>
    <row r="73" spans="2:15" ht="15.75">
      <c r="B73" s="137">
        <f t="shared" ref="B73:B77" si="0">+B72+1</f>
        <v>26</v>
      </c>
      <c r="C73" s="179"/>
      <c r="D73" s="180" t="str">
        <f>D63</f>
        <v xml:space="preserve">  Transmission</v>
      </c>
      <c r="E73" s="136" t="str">
        <f>"(Worksheet A ln "&amp;'WS A - Rate Base Support'!A42&amp;"."&amp;'WS A - Rate Base Support'!C27 &amp;" &amp; Ln "&amp;'WS A - Rate Base Support'!A64&amp;"."&amp;'WS A - Rate Base Support'!C47&amp;")"</f>
        <v>(Worksheet A ln 28.(b) &amp; Ln 43.(b))</v>
      </c>
      <c r="F73" s="181"/>
      <c r="G73" s="183">
        <f>'WS A - Rate Base Support'!C42</f>
        <v>19502547.221072793</v>
      </c>
      <c r="H73" s="149"/>
      <c r="I73" s="1109" t="s">
        <v>420</v>
      </c>
      <c r="J73" s="186">
        <f>IF(G73=0,1,L73/G73)</f>
        <v>1</v>
      </c>
      <c r="K73" s="182"/>
      <c r="L73" s="149">
        <f>'WS A - Rate Base Support'!C64</f>
        <v>19502547.221072793</v>
      </c>
      <c r="M73" s="182"/>
      <c r="N73" s="136"/>
      <c r="O73" s="136"/>
    </row>
    <row r="74" spans="2:15" ht="15.75">
      <c r="B74" s="137">
        <f t="shared" si="0"/>
        <v>27</v>
      </c>
      <c r="C74" s="179"/>
      <c r="D74" s="132" t="s">
        <v>171</v>
      </c>
      <c r="E74" s="136" t="str">
        <f>"(Worksheet A ln "&amp;'WS A - Rate Base Support'!A42&amp;"."&amp;'WS A - Rate Base Support'!D27 &amp;")"</f>
        <v>(Worksheet A ln 28.(c))</v>
      </c>
      <c r="F74" s="181"/>
      <c r="G74" s="149">
        <f>'WS A - Rate Base Support'!D42</f>
        <v>0</v>
      </c>
      <c r="H74" s="149"/>
      <c r="I74" s="1109" t="s">
        <v>412</v>
      </c>
      <c r="J74" s="151">
        <f>IF(I74="TP",L217,L73/G73)</f>
        <v>1</v>
      </c>
      <c r="K74" s="182"/>
      <c r="L74" s="149">
        <f>+J74*G74</f>
        <v>0</v>
      </c>
      <c r="M74" s="182"/>
      <c r="N74" s="136"/>
      <c r="O74" s="136"/>
    </row>
    <row r="75" spans="2:15">
      <c r="B75" s="137">
        <f t="shared" si="0"/>
        <v>28</v>
      </c>
      <c r="C75" s="179"/>
      <c r="D75" s="132" t="str">
        <f>+D65</f>
        <v xml:space="preserve">  General Plant   </v>
      </c>
      <c r="E75" s="136" t="str">
        <f>"(Worksheet A ln "&amp;'WS A - Rate Base Support'!A42&amp;"."&amp;'WS A - Rate Base Support'!E27 &amp;")"</f>
        <v>(Worksheet A ln 28.(d))</v>
      </c>
      <c r="F75" s="136"/>
      <c r="G75" s="149">
        <f>'WS A - Rate Base Support'!E42</f>
        <v>810837.19181857654</v>
      </c>
      <c r="H75" s="149"/>
      <c r="I75" s="150" t="s">
        <v>422</v>
      </c>
      <c r="J75" s="151">
        <f>L235</f>
        <v>1</v>
      </c>
      <c r="K75" s="136"/>
      <c r="L75" s="149">
        <f>+J75*G75</f>
        <v>810837.19181857654</v>
      </c>
      <c r="M75" s="136"/>
      <c r="N75" s="136"/>
      <c r="O75" s="136"/>
    </row>
    <row r="76" spans="2:15">
      <c r="B76" s="137">
        <f t="shared" si="0"/>
        <v>29</v>
      </c>
      <c r="C76" s="179"/>
      <c r="D76" s="132" t="s">
        <v>170</v>
      </c>
      <c r="E76" s="136" t="str">
        <f>"(Worksheet A ln "&amp;'WS A - Rate Base Support'!A42&amp;"."&amp;'WS A - Rate Base Support'!F27 &amp;")"</f>
        <v>(Worksheet A ln 28.(e))</v>
      </c>
      <c r="F76" s="136"/>
      <c r="G76" s="149">
        <f>'WS A - Rate Base Support'!F42</f>
        <v>0</v>
      </c>
      <c r="H76" s="149"/>
      <c r="I76" s="150" t="s">
        <v>422</v>
      </c>
      <c r="J76" s="151">
        <f>L235</f>
        <v>1</v>
      </c>
      <c r="K76" s="136"/>
      <c r="L76" s="149">
        <f>+J76*G76</f>
        <v>0</v>
      </c>
      <c r="M76" s="136"/>
      <c r="N76" s="136"/>
      <c r="O76" s="136"/>
    </row>
    <row r="77" spans="2:15">
      <c r="B77" s="137">
        <f t="shared" si="0"/>
        <v>30</v>
      </c>
      <c r="C77" s="179"/>
      <c r="D77" s="132" t="str">
        <f>+D67</f>
        <v xml:space="preserve">  Intangible Plant</v>
      </c>
      <c r="E77" s="136" t="str">
        <f>"(Worksheet A ln "&amp;'WS A - Rate Base Support'!A42&amp;"."&amp;'WS A - Rate Base Support'!G27 &amp;")"</f>
        <v>(Worksheet A ln 28.(f))</v>
      </c>
      <c r="F77" s="136"/>
      <c r="G77" s="149">
        <f>'WS A - Rate Base Support'!G42</f>
        <v>0</v>
      </c>
      <c r="H77" s="149"/>
      <c r="I77" s="150" t="s">
        <v>422</v>
      </c>
      <c r="J77" s="151">
        <f>L235</f>
        <v>1</v>
      </c>
      <c r="K77" s="136"/>
      <c r="L77" s="1110">
        <f>+J77*G77</f>
        <v>0</v>
      </c>
      <c r="M77" s="136"/>
      <c r="N77" s="136"/>
      <c r="O77" s="136"/>
    </row>
    <row r="78" spans="2:15">
      <c r="B78" s="137"/>
      <c r="C78" s="179"/>
      <c r="D78" s="132"/>
      <c r="E78" s="136"/>
      <c r="F78" s="136"/>
      <c r="G78" s="149"/>
      <c r="H78" s="149"/>
      <c r="I78" s="150"/>
      <c r="J78" s="151"/>
      <c r="K78" s="136"/>
      <c r="L78" s="233"/>
      <c r="M78" s="136"/>
      <c r="N78" s="136"/>
      <c r="O78" s="136"/>
    </row>
    <row r="79" spans="2:15" ht="15.75" thickBot="1">
      <c r="B79" s="137"/>
      <c r="C79" s="179"/>
      <c r="D79" s="132"/>
      <c r="E79" s="136"/>
      <c r="F79" s="136"/>
      <c r="G79" s="184"/>
      <c r="H79" s="149"/>
      <c r="I79" s="150"/>
      <c r="J79" s="151"/>
      <c r="K79" s="136"/>
      <c r="L79" s="1111"/>
      <c r="M79" s="136"/>
      <c r="N79" s="136"/>
      <c r="O79" s="136"/>
    </row>
    <row r="80" spans="2:15">
      <c r="B80" s="137">
        <f>+B77+1</f>
        <v>31</v>
      </c>
      <c r="C80" s="179"/>
      <c r="D80" s="132" t="s">
        <v>370</v>
      </c>
      <c r="E80" s="136" t="str">
        <f>"(Sum of Lines: "&amp;B73&amp;" to "&amp;B77&amp;")"</f>
        <v>(Sum of Lines: 26 to 30)</v>
      </c>
      <c r="F80" s="1105"/>
      <c r="G80" s="149">
        <f>SUM(G73:G79)</f>
        <v>20313384.412891369</v>
      </c>
      <c r="H80" s="149"/>
      <c r="I80" s="150"/>
      <c r="J80" s="136"/>
      <c r="K80" s="149"/>
      <c r="L80" s="149">
        <f>SUM(L73:L79)</f>
        <v>20313384.412891369</v>
      </c>
      <c r="M80" s="136"/>
      <c r="N80" s="136"/>
      <c r="O80" s="136"/>
    </row>
    <row r="81" spans="2:15">
      <c r="B81" s="137"/>
      <c r="C81" s="138"/>
      <c r="E81" s="1112"/>
      <c r="F81" s="1105"/>
      <c r="G81" s="149"/>
      <c r="H81" s="149"/>
      <c r="I81" s="150"/>
      <c r="J81" s="187"/>
      <c r="K81" s="136"/>
      <c r="L81" s="149"/>
      <c r="M81" s="136"/>
      <c r="N81" s="136"/>
      <c r="O81" s="136"/>
    </row>
    <row r="82" spans="2:15">
      <c r="B82" s="137">
        <f>+B80+1</f>
        <v>32</v>
      </c>
      <c r="C82" s="138"/>
      <c r="D82" s="132" t="s">
        <v>374</v>
      </c>
      <c r="E82" s="150"/>
      <c r="F82" s="150"/>
      <c r="G82" s="149"/>
      <c r="H82" s="149"/>
      <c r="I82" s="150"/>
      <c r="J82" s="136"/>
      <c r="K82" s="136"/>
      <c r="L82" s="149"/>
      <c r="M82" s="136"/>
      <c r="N82" s="136"/>
      <c r="O82" s="136"/>
    </row>
    <row r="83" spans="2:15">
      <c r="B83" s="188">
        <f>+B82+1</f>
        <v>33</v>
      </c>
      <c r="C83" s="179"/>
      <c r="D83" s="132" t="str">
        <f>+D73</f>
        <v xml:space="preserve">  Transmission</v>
      </c>
      <c r="E83" s="136" t="str">
        <f>" (ln "&amp;B63&amp;" + ln "&amp;B64&amp;" - ln "&amp;B73&amp;" - ln "&amp;B74&amp;")"</f>
        <v xml:space="preserve"> (ln 19 + ln 20 - ln 26 - ln 27)</v>
      </c>
      <c r="F83" s="136"/>
      <c r="G83" s="149">
        <f>+G63+G64-G73-G74</f>
        <v>140848753.40974069</v>
      </c>
      <c r="H83" s="149"/>
      <c r="I83" s="150"/>
      <c r="J83" s="186"/>
      <c r="K83" s="136"/>
      <c r="L83" s="149">
        <f>+L63+L64-L73-L74</f>
        <v>140848753.40974069</v>
      </c>
      <c r="M83" s="136"/>
      <c r="N83" s="136"/>
      <c r="O83" s="136"/>
    </row>
    <row r="84" spans="2:15">
      <c r="B84" s="137">
        <f>+B83+1</f>
        <v>34</v>
      </c>
      <c r="C84" s="179"/>
      <c r="D84" s="132" t="str">
        <f>+D75</f>
        <v xml:space="preserve">  General Plant   </v>
      </c>
      <c r="E84" s="136" t="str">
        <f>" (ln "&amp;B65&amp;" + ln "&amp;B66&amp;" - ln "&amp;B75&amp;" - ln "&amp;B76&amp;")"</f>
        <v xml:space="preserve"> (ln 21 + ln 22 - ln 28 - ln 29)</v>
      </c>
      <c r="F84" s="136"/>
      <c r="G84" s="149">
        <f>+G65+G66-G75-G76</f>
        <v>1306547.2015105679</v>
      </c>
      <c r="H84" s="149"/>
      <c r="I84" s="150"/>
      <c r="J84" s="187"/>
      <c r="K84" s="136"/>
      <c r="L84" s="149">
        <f>+L65+L66-L75-L76</f>
        <v>1306547.2015105679</v>
      </c>
      <c r="M84" s="136"/>
      <c r="N84" s="136"/>
      <c r="O84" s="136"/>
    </row>
    <row r="85" spans="2:15">
      <c r="B85" s="137">
        <f>+B84+1</f>
        <v>35</v>
      </c>
      <c r="C85" s="179"/>
      <c r="D85" s="132" t="str">
        <f>+D77</f>
        <v xml:space="preserve">  Intangible Plant</v>
      </c>
      <c r="E85" s="136" t="str">
        <f>" (ln "&amp;B67&amp;" - ln "&amp;B77&amp;")"</f>
        <v xml:space="preserve"> (ln 23 - ln 30)</v>
      </c>
      <c r="F85" s="136"/>
      <c r="G85" s="149">
        <f>+G67-G77</f>
        <v>0</v>
      </c>
      <c r="H85" s="149"/>
      <c r="I85" s="150"/>
      <c r="J85" s="187"/>
      <c r="K85" s="136"/>
      <c r="L85" s="149">
        <f>+L67-L77</f>
        <v>0</v>
      </c>
      <c r="M85" s="136"/>
      <c r="N85" s="136"/>
      <c r="O85" s="136"/>
    </row>
    <row r="86" spans="2:15" ht="15.75" thickBot="1">
      <c r="B86" s="137"/>
      <c r="C86" s="179"/>
      <c r="D86" s="132"/>
      <c r="E86" s="136"/>
      <c r="F86" s="136"/>
      <c r="G86" s="184"/>
      <c r="H86" s="149"/>
      <c r="I86" s="150"/>
      <c r="J86" s="187"/>
      <c r="K86" s="136"/>
      <c r="L86" s="184"/>
      <c r="M86" s="136"/>
      <c r="N86" s="136"/>
      <c r="O86" s="136"/>
    </row>
    <row r="87" spans="2:15" ht="15.75">
      <c r="B87" s="137">
        <f>+B85+1</f>
        <v>36</v>
      </c>
      <c r="C87" s="179"/>
      <c r="D87" s="132" t="s">
        <v>369</v>
      </c>
      <c r="E87" s="136" t="str">
        <f>"(Sum of Lines: "&amp;B83&amp;" to "&amp;B85&amp;")"</f>
        <v>(Sum of Lines: 33 to 35)</v>
      </c>
      <c r="F87" s="136"/>
      <c r="G87" s="149">
        <f>SUM(G83:G86)</f>
        <v>142155300.61125126</v>
      </c>
      <c r="H87" s="149"/>
      <c r="I87" s="189" t="s">
        <v>979</v>
      </c>
      <c r="J87" s="1104">
        <f>IF(G87=0,0,+L87/G87)</f>
        <v>1</v>
      </c>
      <c r="K87" s="136"/>
      <c r="L87" s="149">
        <f>SUM(L83:L86)</f>
        <v>142155300.61125126</v>
      </c>
      <c r="M87" s="136"/>
      <c r="N87" s="136"/>
      <c r="O87" s="136"/>
    </row>
    <row r="88" spans="2:15">
      <c r="B88" s="137"/>
      <c r="C88" s="138"/>
      <c r="D88" s="132"/>
      <c r="E88" s="136"/>
      <c r="F88" s="136"/>
      <c r="G88" s="149"/>
      <c r="H88" s="149"/>
      <c r="J88" s="190"/>
      <c r="K88" s="136"/>
      <c r="L88" s="149"/>
      <c r="M88" s="136"/>
      <c r="N88" s="136"/>
      <c r="O88" s="136"/>
    </row>
    <row r="89" spans="2:15">
      <c r="B89" s="137"/>
      <c r="C89" s="138"/>
      <c r="G89" s="41"/>
      <c r="H89" s="41"/>
      <c r="I89" s="41"/>
      <c r="J89" s="41"/>
      <c r="K89" s="41"/>
      <c r="L89" s="41"/>
      <c r="M89"/>
      <c r="N89" s="136"/>
      <c r="O89" s="136"/>
    </row>
    <row r="90" spans="2:15">
      <c r="B90" s="137">
        <f>+B87+1</f>
        <v>37</v>
      </c>
      <c r="C90" s="138"/>
      <c r="D90" s="132" t="s">
        <v>121</v>
      </c>
      <c r="E90" s="136" t="s">
        <v>98</v>
      </c>
      <c r="F90" s="150"/>
      <c r="G90" s="41"/>
      <c r="H90" s="41"/>
      <c r="I90" s="41"/>
      <c r="J90" s="41"/>
      <c r="K90" s="41"/>
      <c r="L90" s="41"/>
      <c r="M90"/>
      <c r="N90" s="136"/>
      <c r="O90" s="136"/>
    </row>
    <row r="91" spans="2:15">
      <c r="B91" s="137">
        <f t="shared" ref="B91:B96" si="1">+B90+1</f>
        <v>38</v>
      </c>
      <c r="C91" s="179"/>
      <c r="D91" s="132" t="s">
        <v>475</v>
      </c>
      <c r="E91" s="136" t="str">
        <f>"(Worksheet B, ln "&amp;'WS B ADIT &amp; ITC'!A17&amp;" &amp; ln "&amp;'WS B ADIT &amp; ITC'!A20&amp;".E)"</f>
        <v>(Worksheet B, ln 2 &amp; ln 5.E)</v>
      </c>
      <c r="F91" s="136"/>
      <c r="G91" s="149">
        <f>'WS B ADIT &amp; ITC'!I17</f>
        <v>0</v>
      </c>
      <c r="H91" s="149"/>
      <c r="I91" s="150" t="s">
        <v>418</v>
      </c>
      <c r="J91" s="151"/>
      <c r="K91" s="136"/>
      <c r="L91" s="149">
        <f>'WS B ADIT &amp; ITC'!I20</f>
        <v>0</v>
      </c>
      <c r="M91" s="136"/>
      <c r="N91" s="136"/>
      <c r="O91" s="136"/>
    </row>
    <row r="92" spans="2:15">
      <c r="B92" s="137">
        <f t="shared" si="1"/>
        <v>39</v>
      </c>
      <c r="C92" s="179"/>
      <c r="D92" s="132" t="s">
        <v>476</v>
      </c>
      <c r="E92" s="136" t="str">
        <f>"(Worksheet B, ln "&amp;'WS B ADIT &amp; ITC'!A25&amp;" &amp; ln "&amp;'WS B ADIT &amp; ITC'!A28&amp;".E)"</f>
        <v>(Worksheet B, ln 7 &amp; ln 10.E)</v>
      </c>
      <c r="F92" s="136"/>
      <c r="G92" s="149">
        <f>-'WS B ADIT &amp; ITC'!I25</f>
        <v>-10666756.476806007</v>
      </c>
      <c r="H92" s="149"/>
      <c r="I92" s="150" t="s">
        <v>420</v>
      </c>
      <c r="J92" s="151"/>
      <c r="K92" s="136"/>
      <c r="L92" s="149">
        <f>-'WS B ADIT &amp; ITC'!I28</f>
        <v>-9207573.8031938784</v>
      </c>
      <c r="M92" s="136"/>
      <c r="N92" s="136"/>
      <c r="O92" s="136"/>
    </row>
    <row r="93" spans="2:15">
      <c r="B93" s="137">
        <f t="shared" si="1"/>
        <v>40</v>
      </c>
      <c r="C93" s="179"/>
      <c r="D93" s="132" t="s">
        <v>477</v>
      </c>
      <c r="E93" s="136" t="str">
        <f>"(Worksheet B, ln "&amp;'WS B ADIT &amp; ITC'!A33&amp;" &amp; ln "&amp;'WS B ADIT &amp; ITC'!A36&amp;".E)"</f>
        <v>(Worksheet B, ln 12 &amp; ln 15.E)</v>
      </c>
      <c r="F93" s="136"/>
      <c r="G93" s="149">
        <f>-'WS B ADIT &amp; ITC'!I33</f>
        <v>-3196533.1996664791</v>
      </c>
      <c r="H93" s="149"/>
      <c r="I93" s="150" t="s">
        <v>420</v>
      </c>
      <c r="J93" s="151"/>
      <c r="K93" s="136"/>
      <c r="L93" s="149">
        <f>-'WS B ADIT &amp; ITC'!I36</f>
        <v>-2645351.2396664792</v>
      </c>
      <c r="M93" s="136"/>
      <c r="N93" s="136"/>
      <c r="O93" s="136"/>
    </row>
    <row r="94" spans="2:15">
      <c r="B94" s="137">
        <f t="shared" si="1"/>
        <v>41</v>
      </c>
      <c r="C94" s="179"/>
      <c r="D94" s="132" t="s">
        <v>478</v>
      </c>
      <c r="E94" s="136" t="str">
        <f>"(Worksheet B, ln "&amp;'WS B ADIT &amp; ITC'!A41&amp;" &amp; ln "&amp;'WS B ADIT &amp; ITC'!A44&amp;".E)"</f>
        <v>(Worksheet B, ln 17 &amp; ln 20.E)</v>
      </c>
      <c r="F94" s="136"/>
      <c r="G94" s="149">
        <f>'WS B ADIT &amp; ITC'!I41</f>
        <v>2478908.3823673353</v>
      </c>
      <c r="H94" s="149"/>
      <c r="I94" s="150" t="s">
        <v>420</v>
      </c>
      <c r="J94" s="151"/>
      <c r="K94" s="136"/>
      <c r="L94" s="149">
        <f>'WS B ADIT &amp; ITC'!I44</f>
        <v>2327524.9423673349</v>
      </c>
      <c r="M94" s="136"/>
      <c r="N94" s="136"/>
      <c r="O94" s="136"/>
    </row>
    <row r="95" spans="2:15" ht="15.75" thickBot="1">
      <c r="B95" s="137">
        <f t="shared" si="1"/>
        <v>42</v>
      </c>
      <c r="C95" s="179"/>
      <c r="D95" s="127" t="s">
        <v>424</v>
      </c>
      <c r="E95" s="136" t="str">
        <f>"(Worksheet B, ln "&amp;'WS B ADIT &amp; ITC'!A51&amp;" &amp; ln "&amp;'WS B ADIT &amp; ITC'!A52&amp;".E)"</f>
        <v>(Worksheet B, ln 24 &amp; ln 25.E)</v>
      </c>
      <c r="G95" s="184">
        <f>-'WS B ADIT &amp; ITC'!I51</f>
        <v>0</v>
      </c>
      <c r="H95" s="149"/>
      <c r="I95" s="150" t="s">
        <v>420</v>
      </c>
      <c r="J95" s="151"/>
      <c r="K95" s="136"/>
      <c r="L95" s="184">
        <f>-'WS B ADIT &amp; ITC'!I52</f>
        <v>0</v>
      </c>
      <c r="M95" s="191"/>
      <c r="N95" s="136"/>
      <c r="O95" s="136"/>
    </row>
    <row r="96" spans="2:15">
      <c r="B96" s="137">
        <f t="shared" si="1"/>
        <v>43</v>
      </c>
      <c r="C96" s="179"/>
      <c r="D96" s="132" t="s">
        <v>383</v>
      </c>
      <c r="E96" s="132" t="str">
        <f>"(sum lns "&amp;B91&amp;" to "&amp;B95&amp;")"</f>
        <v>(sum lns 38 to 42)</v>
      </c>
      <c r="F96" s="136"/>
      <c r="G96" s="149">
        <f>SUM(G91:G95)</f>
        <v>-11384381.294105152</v>
      </c>
      <c r="H96" s="41"/>
      <c r="I96" s="150"/>
      <c r="J96" s="159"/>
      <c r="K96" s="136"/>
      <c r="L96" s="149">
        <f>SUM(L91:L95)</f>
        <v>-9525400.1004930213</v>
      </c>
      <c r="M96" s="136"/>
      <c r="N96" s="192"/>
    </row>
    <row r="97" spans="2:13">
      <c r="B97" s="137"/>
      <c r="C97" s="138"/>
      <c r="D97" s="132"/>
      <c r="E97" s="136"/>
      <c r="F97" s="136"/>
      <c r="G97" s="149"/>
      <c r="H97" s="41"/>
      <c r="I97" s="150"/>
      <c r="J97" s="187"/>
      <c r="K97" s="136"/>
      <c r="L97" s="149"/>
      <c r="M97" s="136"/>
    </row>
    <row r="98" spans="2:13">
      <c r="B98" s="137">
        <f>+B96+1</f>
        <v>44</v>
      </c>
      <c r="C98" s="138"/>
      <c r="D98" s="132" t="s">
        <v>487</v>
      </c>
      <c r="E98" s="136" t="str">
        <f>"(Worksheet A ln "&amp;'WS A - Rate Base Support'!A69&amp;"."&amp;'WS A - Rate Base Support'!F68 &amp;")"&amp;" ln "&amp;'WS A - Rate Base Support'!A71&amp;"."&amp;'WS A - Rate Base Support'!F68 &amp;")"</f>
        <v>(Worksheet A ln 44.(e)) ln 45.(e))</v>
      </c>
      <c r="F98" s="136"/>
      <c r="G98" s="149">
        <f>'WS A - Rate Base Support'!F69</f>
        <v>0</v>
      </c>
      <c r="H98" s="41"/>
      <c r="I98" s="150" t="s">
        <v>420</v>
      </c>
      <c r="J98" s="151"/>
      <c r="K98" s="136"/>
      <c r="L98" s="149">
        <f>'WS A - Rate Base Support'!F71</f>
        <v>0</v>
      </c>
      <c r="M98" s="136"/>
    </row>
    <row r="99" spans="2:13">
      <c r="B99" s="137"/>
      <c r="C99" s="138"/>
      <c r="D99" s="132"/>
      <c r="E99" s="136"/>
      <c r="F99" s="136"/>
      <c r="G99" s="149"/>
      <c r="H99" s="41"/>
      <c r="I99" s="150"/>
      <c r="J99" s="151"/>
      <c r="K99" s="136"/>
      <c r="L99" s="149"/>
      <c r="M99" s="136"/>
    </row>
    <row r="100" spans="2:13">
      <c r="B100" s="137">
        <f>+B98+1</f>
        <v>45</v>
      </c>
      <c r="C100" s="138"/>
      <c r="D100" s="132" t="s">
        <v>122</v>
      </c>
      <c r="E100" s="136" t="str">
        <f>"(Worksheet A ln "&amp;'WS A - Rate Base Support'!A80&amp;"."&amp;'WS A - Rate Base Support'!F68 &amp;")"</f>
        <v>(Worksheet A ln 51.(e))</v>
      </c>
      <c r="F100" s="136"/>
      <c r="G100" s="149">
        <f>'WS A - Rate Base Support'!F80</f>
        <v>0</v>
      </c>
      <c r="H100" s="41"/>
      <c r="I100" s="150" t="s">
        <v>420</v>
      </c>
      <c r="J100" s="136"/>
      <c r="K100" s="136"/>
      <c r="L100" s="149">
        <f>+G100</f>
        <v>0</v>
      </c>
      <c r="M100" s="136"/>
    </row>
    <row r="101" spans="2:13">
      <c r="B101" s="137"/>
      <c r="C101" s="138"/>
      <c r="D101" s="132"/>
      <c r="E101" s="136"/>
      <c r="F101" s="136"/>
      <c r="G101" s="149"/>
      <c r="H101" s="41"/>
      <c r="I101" s="150"/>
      <c r="J101" s="136"/>
      <c r="K101" s="136"/>
      <c r="L101" s="149"/>
      <c r="M101" s="136"/>
    </row>
    <row r="102" spans="2:13">
      <c r="B102" s="137">
        <f>B100+1</f>
        <v>46</v>
      </c>
      <c r="C102" s="179"/>
      <c r="D102" s="145" t="s">
        <v>635</v>
      </c>
      <c r="E102" s="136" t="s">
        <v>636</v>
      </c>
      <c r="F102" s="136"/>
      <c r="G102" s="149">
        <f>'WS A - Rate Base Support'!F87</f>
        <v>0</v>
      </c>
      <c r="H102" s="149"/>
      <c r="I102" s="150" t="s">
        <v>422</v>
      </c>
      <c r="J102" s="151">
        <f>L235</f>
        <v>1</v>
      </c>
      <c r="K102" s="136"/>
      <c r="L102" s="149">
        <f>+J102*G102</f>
        <v>0</v>
      </c>
      <c r="M102" s="136"/>
    </row>
    <row r="103" spans="2:13">
      <c r="B103" s="137"/>
      <c r="C103" s="138"/>
      <c r="D103" s="132"/>
      <c r="E103" s="136"/>
      <c r="F103" s="136"/>
      <c r="G103" s="149"/>
      <c r="H103" s="41"/>
      <c r="I103" s="150"/>
      <c r="J103" s="136"/>
      <c r="K103" s="136"/>
      <c r="L103" s="149"/>
      <c r="M103" s="136"/>
    </row>
    <row r="104" spans="2:13">
      <c r="B104" s="137">
        <f>+B102+1</f>
        <v>47</v>
      </c>
      <c r="C104" s="138"/>
      <c r="D104" s="132" t="s">
        <v>384</v>
      </c>
      <c r="E104" s="136" t="s">
        <v>286</v>
      </c>
      <c r="F104" s="136"/>
      <c r="G104" s="149"/>
      <c r="H104" s="41"/>
      <c r="I104" s="150"/>
      <c r="J104" s="136"/>
      <c r="K104" s="136"/>
      <c r="L104" s="149"/>
      <c r="M104" s="136"/>
    </row>
    <row r="105" spans="2:13">
      <c r="B105" s="137">
        <f t="shared" ref="B105:B114" si="2">+B104+1</f>
        <v>48</v>
      </c>
      <c r="C105" s="179"/>
      <c r="D105" s="132" t="s">
        <v>486</v>
      </c>
      <c r="E105" s="127" t="str">
        <f>"(1/8 * ln "&amp;B140&amp;")"</f>
        <v>(1/8 * ln 66)</v>
      </c>
      <c r="G105" s="149">
        <f>+G140/8</f>
        <v>351260.21560515236</v>
      </c>
      <c r="H105" s="136"/>
      <c r="I105" s="150"/>
      <c r="J105" s="187"/>
      <c r="K105" s="136"/>
      <c r="L105" s="149">
        <f>+L140/8</f>
        <v>351260.21560515236</v>
      </c>
      <c r="M105" s="132"/>
    </row>
    <row r="106" spans="2:13">
      <c r="B106" s="137">
        <f t="shared" si="2"/>
        <v>49</v>
      </c>
      <c r="C106" s="179"/>
      <c r="D106" s="132" t="s">
        <v>129</v>
      </c>
      <c r="E106" s="136" t="str">
        <f>"(Worksheet C, ln "&amp;'WS C  - Working Capital'!A17&amp;".(F))"</f>
        <v>(Worksheet C, ln 2.(F))</v>
      </c>
      <c r="F106" s="136"/>
      <c r="G106" s="149">
        <f>'WS C  - Working Capital'!I17</f>
        <v>0</v>
      </c>
      <c r="H106" s="41"/>
      <c r="I106" s="150" t="s">
        <v>412</v>
      </c>
      <c r="J106" s="151">
        <f>J140</f>
        <v>1</v>
      </c>
      <c r="K106" s="136"/>
      <c r="L106" s="149">
        <f>+J106*G106</f>
        <v>0</v>
      </c>
      <c r="M106" s="136"/>
    </row>
    <row r="107" spans="2:13">
      <c r="B107" s="137"/>
      <c r="C107" s="179"/>
      <c r="D107" s="132"/>
      <c r="E107" s="136"/>
      <c r="F107" s="136"/>
      <c r="G107" s="149"/>
      <c r="H107" s="98"/>
      <c r="I107" s="150"/>
      <c r="J107" s="151"/>
      <c r="K107" s="136"/>
      <c r="L107" s="149"/>
    </row>
    <row r="108" spans="2:13">
      <c r="B108" s="137">
        <f>+B106+1</f>
        <v>50</v>
      </c>
      <c r="C108" s="179"/>
      <c r="D108" s="132" t="s">
        <v>130</v>
      </c>
      <c r="E108" s="136" t="str">
        <f>"(Worksheet C, ln "&amp;'WS C  - Working Capital'!A21&amp;".(F))"</f>
        <v>(Worksheet C, ln 3.(F))</v>
      </c>
      <c r="F108" s="136"/>
      <c r="G108" s="149">
        <f>'WS C  - Working Capital'!I21</f>
        <v>0</v>
      </c>
      <c r="H108" s="41"/>
      <c r="I108" s="150" t="s">
        <v>422</v>
      </c>
      <c r="J108" s="151">
        <f>L235</f>
        <v>1</v>
      </c>
      <c r="K108" s="136"/>
      <c r="L108" s="149">
        <f>+J108*G108</f>
        <v>0</v>
      </c>
      <c r="M108" s="136"/>
    </row>
    <row r="109" spans="2:13">
      <c r="B109" s="137">
        <f t="shared" si="2"/>
        <v>51</v>
      </c>
      <c r="C109" s="179"/>
      <c r="D109" s="132" t="s">
        <v>318</v>
      </c>
      <c r="E109" s="136" t="str">
        <f>"(Worksheet C, ln "&amp;'WS C  - Working Capital'!A23&amp;".(F))"</f>
        <v>(Worksheet C, ln 4.(F))</v>
      </c>
      <c r="F109" s="136"/>
      <c r="G109" s="149">
        <f>'WS C  - Working Capital'!I23</f>
        <v>0</v>
      </c>
      <c r="H109" s="41"/>
      <c r="I109" s="150" t="s">
        <v>756</v>
      </c>
      <c r="J109" s="151">
        <f>J70</f>
        <v>1</v>
      </c>
      <c r="K109" s="136"/>
      <c r="L109" s="149">
        <f>+J109*G109</f>
        <v>0</v>
      </c>
      <c r="M109" s="136"/>
    </row>
    <row r="110" spans="2:13">
      <c r="B110" s="137">
        <f t="shared" si="2"/>
        <v>52</v>
      </c>
      <c r="C110" s="179"/>
      <c r="D110" s="132" t="s">
        <v>490</v>
      </c>
      <c r="E110" s="136" t="str">
        <f>"(Worksheet C, ln "&amp;'WS C  - Working Capital'!A33&amp;".(G))"</f>
        <v>(Worksheet C, ln 8.(G))</v>
      </c>
      <c r="F110" s="136"/>
      <c r="G110" s="149">
        <f>'WS C  - Working Capital'!J33</f>
        <v>0</v>
      </c>
      <c r="H110" s="41"/>
      <c r="I110" s="150" t="s">
        <v>422</v>
      </c>
      <c r="J110" s="151">
        <f>L235</f>
        <v>1</v>
      </c>
      <c r="K110" s="136"/>
      <c r="L110" s="149">
        <f>+J110*G110</f>
        <v>0</v>
      </c>
      <c r="M110" s="136"/>
    </row>
    <row r="111" spans="2:13">
      <c r="B111" s="137">
        <f t="shared" si="2"/>
        <v>53</v>
      </c>
      <c r="C111" s="179"/>
      <c r="D111" s="132" t="s">
        <v>491</v>
      </c>
      <c r="E111" s="136" t="str">
        <f>"(Worksheet C, ln "&amp;'WS C  - Working Capital'!A33&amp;".(F))"</f>
        <v>(Worksheet C, ln 8.(F))</v>
      </c>
      <c r="F111" s="136"/>
      <c r="G111" s="149">
        <f>'WS C  - Working Capital'!I33</f>
        <v>26812</v>
      </c>
      <c r="H111" s="41"/>
      <c r="I111" s="150" t="s">
        <v>756</v>
      </c>
      <c r="J111" s="151">
        <f>J70</f>
        <v>1</v>
      </c>
      <c r="K111" s="136"/>
      <c r="L111" s="149">
        <f>+G111*J111</f>
        <v>26812</v>
      </c>
      <c r="M111" s="136"/>
    </row>
    <row r="112" spans="2:13">
      <c r="B112" s="137">
        <f t="shared" si="2"/>
        <v>54</v>
      </c>
      <c r="C112" s="179"/>
      <c r="D112" s="132" t="s">
        <v>101</v>
      </c>
      <c r="E112" s="136" t="str">
        <f>"(Worksheet C, ln "&amp;'WS C  - Working Capital'!A33&amp;".(E))"</f>
        <v>(Worksheet C, ln 8.(E))</v>
      </c>
      <c r="F112" s="136"/>
      <c r="G112" s="149">
        <f>'WS C  - Working Capital'!G33</f>
        <v>0</v>
      </c>
      <c r="H112" s="41"/>
      <c r="I112" s="150" t="s">
        <v>420</v>
      </c>
      <c r="J112" s="151">
        <v>1</v>
      </c>
      <c r="K112" s="136"/>
      <c r="L112" s="149">
        <f>+G112</f>
        <v>0</v>
      </c>
      <c r="M112" s="136"/>
    </row>
    <row r="113" spans="2:15" ht="15.75" thickBot="1">
      <c r="B113" s="137">
        <f t="shared" si="2"/>
        <v>55</v>
      </c>
      <c r="C113" s="179"/>
      <c r="D113" s="132" t="s">
        <v>396</v>
      </c>
      <c r="E113" s="136" t="str">
        <f>"(Worksheet C, ln "&amp;'WS C  - Working Capital'!A33&amp;".(D))"</f>
        <v>(Worksheet C, ln 8.(D))</v>
      </c>
      <c r="F113" s="136"/>
      <c r="G113" s="184">
        <f>'WS C  - Working Capital'!E33</f>
        <v>0</v>
      </c>
      <c r="H113" s="149"/>
      <c r="I113" s="150" t="s">
        <v>418</v>
      </c>
      <c r="J113" s="151">
        <v>0</v>
      </c>
      <c r="K113" s="136"/>
      <c r="L113" s="184">
        <f>+G113*J113</f>
        <v>0</v>
      </c>
      <c r="M113" s="136"/>
    </row>
    <row r="114" spans="2:15">
      <c r="B114" s="137">
        <f t="shared" si="2"/>
        <v>56</v>
      </c>
      <c r="C114" s="179"/>
      <c r="D114" s="132" t="s">
        <v>368</v>
      </c>
      <c r="E114" s="132" t="str">
        <f>"(sum lns "&amp;B105&amp;" to "&amp;B113&amp;")"</f>
        <v>(sum lns 48 to 55)</v>
      </c>
      <c r="F114" s="132"/>
      <c r="G114" s="149">
        <f>SUM(G105:G113)</f>
        <v>378072.21560515236</v>
      </c>
      <c r="H114" s="132"/>
      <c r="I114" s="138"/>
      <c r="J114" s="132"/>
      <c r="K114" s="132"/>
      <c r="L114" s="149">
        <f>SUM(L105:L113)</f>
        <v>378072.21560515236</v>
      </c>
      <c r="M114" s="132"/>
    </row>
    <row r="115" spans="2:15">
      <c r="B115" s="137"/>
      <c r="C115" s="138"/>
      <c r="D115" s="132"/>
      <c r="E115" s="132"/>
      <c r="F115" s="132"/>
      <c r="G115" s="149"/>
      <c r="H115" s="132"/>
      <c r="I115" s="138"/>
      <c r="J115" s="132"/>
      <c r="K115" s="132"/>
      <c r="L115" s="149"/>
      <c r="M115" s="132"/>
    </row>
    <row r="116" spans="2:15">
      <c r="B116" s="137">
        <f>+B114+1</f>
        <v>57</v>
      </c>
      <c r="C116" s="138"/>
      <c r="D116" s="132" t="s">
        <v>356</v>
      </c>
      <c r="E116" s="132" t="str">
        <f>"(Note F) (Worksheet D, ln "&amp;'WS D IPP Credits'!A23&amp;".B)"</f>
        <v>(Note F) (Worksheet D, ln 8.B)</v>
      </c>
      <c r="F116" s="132"/>
      <c r="G116" s="149">
        <f>+'WS D IPP Credits'!C23</f>
        <v>0</v>
      </c>
      <c r="H116" s="132"/>
      <c r="I116" s="193" t="s">
        <v>420</v>
      </c>
      <c r="J116" s="151">
        <v>1</v>
      </c>
      <c r="K116" s="136"/>
      <c r="L116" s="149">
        <f>+J116*G116</f>
        <v>0</v>
      </c>
      <c r="M116" s="132"/>
    </row>
    <row r="117" spans="2:15" ht="15.75" thickBot="1">
      <c r="B117" s="137"/>
      <c r="E117" s="136"/>
      <c r="F117" s="136"/>
      <c r="G117" s="184"/>
      <c r="H117" s="136"/>
      <c r="I117" s="150"/>
      <c r="J117" s="136"/>
      <c r="K117" s="136"/>
      <c r="L117" s="184"/>
      <c r="M117" s="136"/>
    </row>
    <row r="118" spans="2:15" ht="15.75" thickBot="1">
      <c r="B118" s="137">
        <f>+B116+1</f>
        <v>58</v>
      </c>
      <c r="C118" s="138"/>
      <c r="D118" s="132" t="str">
        <f>"RATE BASE  (sum lns "&amp;B87&amp;", "&amp;B96&amp;", "&amp;B98&amp;", "&amp;B100&amp;", "&amp;B102&amp;", "&amp;B114&amp;", "&amp;B116&amp;")"</f>
        <v>RATE BASE  (sum lns 36, 43, 44, 45, 46, 56, 57)</v>
      </c>
      <c r="E118" s="136"/>
      <c r="F118" s="136"/>
      <c r="G118" s="194">
        <f>+G114+G98+G96+G87+G116+G100+G102</f>
        <v>131148991.53275126</v>
      </c>
      <c r="H118" s="136"/>
      <c r="I118" s="136"/>
      <c r="J118" s="187"/>
      <c r="K118" s="136"/>
      <c r="L118" s="194">
        <f>+L114+L98+L96+L87+L116+L100+L102</f>
        <v>133007972.72636339</v>
      </c>
      <c r="M118" s="136"/>
    </row>
    <row r="119" spans="2:15" ht="16.5" thickTop="1">
      <c r="B119" s="137"/>
      <c r="C119" s="41"/>
      <c r="D119" s="41"/>
      <c r="E119" s="41"/>
      <c r="F119" s="41"/>
      <c r="G119" s="41"/>
      <c r="H119" s="41"/>
      <c r="I119" s="130"/>
      <c r="J119" s="130"/>
      <c r="K119" s="130"/>
    </row>
    <row r="120" spans="2:15">
      <c r="B120" s="195"/>
      <c r="C120" s="138"/>
      <c r="D120" s="132"/>
      <c r="E120" s="136"/>
      <c r="F120" s="136"/>
      <c r="G120" s="136"/>
      <c r="H120" s="136"/>
      <c r="I120" s="136"/>
      <c r="J120" s="136"/>
      <c r="K120" s="136"/>
      <c r="L120" s="136"/>
      <c r="M120" s="136"/>
    </row>
    <row r="121" spans="2:15">
      <c r="B121" s="195"/>
      <c r="C121" s="138"/>
      <c r="D121" s="132"/>
      <c r="E121" s="136"/>
      <c r="F121" s="150" t="str">
        <f>F51</f>
        <v>AEPTCo subsidiaries in PJM</v>
      </c>
      <c r="G121" s="150"/>
      <c r="H121" s="136"/>
      <c r="I121" s="136"/>
      <c r="J121" s="136"/>
      <c r="K121" s="136"/>
      <c r="L121" s="136"/>
      <c r="M121" s="196"/>
    </row>
    <row r="122" spans="2:15">
      <c r="B122" s="195"/>
      <c r="C122" s="138"/>
      <c r="D122" s="132"/>
      <c r="E122" s="136"/>
      <c r="F122" s="150" t="str">
        <f>F52</f>
        <v>Transmission Cost of Service Formula Rate</v>
      </c>
      <c r="G122" s="150"/>
      <c r="H122" s="136"/>
      <c r="I122" s="136"/>
      <c r="J122" s="136"/>
      <c r="K122" s="136"/>
      <c r="L122" s="136"/>
      <c r="M122" s="196"/>
    </row>
    <row r="123" spans="2:15">
      <c r="B123" s="195"/>
      <c r="C123" s="138"/>
      <c r="E123" s="136"/>
      <c r="F123" s="150" t="str">
        <f>F53</f>
        <v>Utilizing  Actual/Projected FERC Form 1 Data</v>
      </c>
      <c r="G123" s="136"/>
      <c r="H123" s="136"/>
      <c r="I123" s="136"/>
      <c r="J123" s="136"/>
      <c r="K123" s="136"/>
      <c r="L123" s="136"/>
      <c r="M123" s="167"/>
    </row>
    <row r="124" spans="2:15">
      <c r="B124" s="195"/>
      <c r="C124" s="138"/>
      <c r="E124" s="136"/>
      <c r="F124" s="150"/>
      <c r="G124" s="136"/>
      <c r="H124" s="136"/>
      <c r="I124" s="136"/>
      <c r="J124" s="136"/>
      <c r="K124" s="136"/>
      <c r="L124" s="136"/>
      <c r="M124" s="136"/>
    </row>
    <row r="125" spans="2:15">
      <c r="B125" s="195"/>
      <c r="C125" s="138"/>
      <c r="E125" s="197"/>
      <c r="F125" s="150" t="str">
        <f>F55</f>
        <v>AEP Appalachian Transmission Company</v>
      </c>
      <c r="G125" s="197"/>
      <c r="H125" s="197"/>
      <c r="I125" s="197"/>
      <c r="J125" s="197"/>
      <c r="K125" s="197"/>
      <c r="M125" s="136"/>
    </row>
    <row r="126" spans="2:15">
      <c r="B126" s="195"/>
      <c r="C126" s="138"/>
      <c r="E126" s="197"/>
      <c r="F126" s="150"/>
      <c r="G126" s="197"/>
      <c r="H126" s="197"/>
      <c r="I126" s="197"/>
      <c r="J126" s="197"/>
      <c r="K126" s="197"/>
      <c r="M126" s="136"/>
    </row>
    <row r="127" spans="2:15">
      <c r="B127" s="195"/>
      <c r="D127" s="138" t="s">
        <v>413</v>
      </c>
      <c r="E127" s="138" t="s">
        <v>414</v>
      </c>
      <c r="F127" s="138"/>
      <c r="G127" s="138" t="s">
        <v>415</v>
      </c>
      <c r="H127" s="136"/>
      <c r="I127" s="1133" t="s">
        <v>416</v>
      </c>
      <c r="J127" s="1137"/>
      <c r="K127" s="136"/>
      <c r="L127" s="139" t="s">
        <v>417</v>
      </c>
      <c r="M127" s="136"/>
      <c r="N127" s="139"/>
    </row>
    <row r="128" spans="2:15" ht="15.75">
      <c r="B128" s="195"/>
      <c r="D128" s="138"/>
      <c r="E128" s="138"/>
      <c r="F128" s="138"/>
      <c r="G128" s="138"/>
      <c r="H128" s="136"/>
      <c r="I128" s="136"/>
      <c r="J128" s="169"/>
      <c r="K128" s="136"/>
      <c r="M128" s="136"/>
      <c r="N128" s="198"/>
      <c r="O128" s="130"/>
    </row>
    <row r="129" spans="2:15" ht="15.75">
      <c r="B129" s="195"/>
      <c r="C129" s="138"/>
      <c r="D129" s="198" t="s">
        <v>392</v>
      </c>
      <c r="E129" s="171" t="str">
        <f>E59</f>
        <v>Data Sources</v>
      </c>
      <c r="F129" s="172"/>
      <c r="G129" s="136"/>
      <c r="H129" s="136"/>
      <c r="I129" s="136"/>
      <c r="J129" s="138"/>
      <c r="K129" s="136"/>
      <c r="L129" s="171" t="str">
        <f>L59</f>
        <v>Total</v>
      </c>
      <c r="N129" s="198"/>
      <c r="O129" s="130"/>
    </row>
    <row r="130" spans="2:15" ht="15.75">
      <c r="B130" s="195"/>
      <c r="C130" s="138"/>
      <c r="D130" s="174" t="s">
        <v>393</v>
      </c>
      <c r="E130" s="199" t="str">
        <f>E60</f>
        <v>(See "General Notes")</v>
      </c>
      <c r="F130" s="136"/>
      <c r="G130" s="199" t="str">
        <f>G60</f>
        <v>TO Total</v>
      </c>
      <c r="H130" s="176"/>
      <c r="I130" s="1135" t="str">
        <f>I60</f>
        <v>Allocator</v>
      </c>
      <c r="J130" s="1136"/>
      <c r="K130" s="176"/>
      <c r="L130" s="199" t="str">
        <f>L60</f>
        <v>Transmission</v>
      </c>
      <c r="M130" s="136"/>
      <c r="N130" s="198"/>
      <c r="O130" s="130"/>
    </row>
    <row r="131" spans="2:15" ht="15.75">
      <c r="B131" s="137" t="str">
        <f>B61</f>
        <v>Line</v>
      </c>
      <c r="D131" s="132"/>
      <c r="E131" s="136"/>
      <c r="F131" s="136"/>
      <c r="G131" s="174"/>
      <c r="H131" s="200"/>
      <c r="I131" s="198"/>
      <c r="K131" s="200"/>
      <c r="L131" s="174"/>
      <c r="M131" s="136"/>
    </row>
    <row r="132" spans="2:15">
      <c r="B132" s="137" t="str">
        <f>B62</f>
        <v>No.</v>
      </c>
      <c r="C132" s="138"/>
      <c r="D132" s="132" t="s">
        <v>394</v>
      </c>
      <c r="E132" s="136"/>
      <c r="F132" s="136"/>
      <c r="G132" s="136"/>
      <c r="H132" s="136"/>
      <c r="I132" s="150"/>
      <c r="J132" s="136"/>
      <c r="K132" s="136"/>
      <c r="L132" s="136"/>
      <c r="M132" s="136"/>
    </row>
    <row r="133" spans="2:15">
      <c r="B133" s="137">
        <f>+B118+1</f>
        <v>59</v>
      </c>
      <c r="C133" s="138"/>
      <c r="D133" s="132" t="s">
        <v>32</v>
      </c>
      <c r="E133" s="136" t="s">
        <v>484</v>
      </c>
      <c r="F133" s="136"/>
      <c r="G133" s="117">
        <v>0</v>
      </c>
      <c r="H133" s="136"/>
      <c r="I133" s="150"/>
      <c r="J133" s="151"/>
      <c r="K133" s="136"/>
      <c r="L133" s="149"/>
      <c r="M133" s="136"/>
    </row>
    <row r="134" spans="2:15">
      <c r="B134" s="137">
        <f t="shared" ref="B134:B140" si="3">+B133+1</f>
        <v>60</v>
      </c>
      <c r="C134" s="138"/>
      <c r="D134" s="132" t="s">
        <v>38</v>
      </c>
      <c r="E134" s="136" t="s">
        <v>198</v>
      </c>
      <c r="F134" s="136"/>
      <c r="G134" s="115">
        <v>0</v>
      </c>
      <c r="H134" s="136"/>
      <c r="I134" s="150"/>
      <c r="J134" s="151"/>
      <c r="K134" s="136"/>
      <c r="L134" s="149"/>
      <c r="M134" s="136"/>
    </row>
    <row r="135" spans="2:15" ht="15.75" thickBot="1">
      <c r="B135" s="137">
        <f t="shared" si="3"/>
        <v>61</v>
      </c>
      <c r="C135" s="138"/>
      <c r="D135" s="132" t="s">
        <v>425</v>
      </c>
      <c r="E135" s="136" t="s">
        <v>197</v>
      </c>
      <c r="F135" s="136"/>
      <c r="G135" s="113">
        <v>2901467.8922888711</v>
      </c>
      <c r="H135" s="201"/>
      <c r="I135" s="41"/>
      <c r="J135" s="41"/>
      <c r="K135"/>
      <c r="L135"/>
      <c r="M135" s="132"/>
      <c r="N135" s="136"/>
      <c r="O135" s="136"/>
    </row>
    <row r="136" spans="2:15">
      <c r="B136" s="137">
        <f t="shared" si="3"/>
        <v>62</v>
      </c>
      <c r="C136" s="138"/>
      <c r="D136" s="132" t="s">
        <v>39</v>
      </c>
      <c r="E136" s="136" t="str">
        <f>"(sum lns "&amp;B133&amp;"  to "&amp;B135&amp;")"</f>
        <v>(sum lns 59  to 61)</v>
      </c>
      <c r="F136" s="136"/>
      <c r="G136" s="149">
        <f>SUM(G133:G135)</f>
        <v>2901467.8922888711</v>
      </c>
      <c r="H136" s="149"/>
      <c r="I136" s="41"/>
      <c r="J136" s="41"/>
      <c r="K136"/>
      <c r="L136"/>
      <c r="M136" s="132"/>
      <c r="N136" s="136"/>
      <c r="O136" s="136"/>
    </row>
    <row r="137" spans="2:15">
      <c r="B137" s="137">
        <f t="shared" si="3"/>
        <v>63</v>
      </c>
      <c r="C137" s="138"/>
      <c r="D137" s="132" t="s">
        <v>123</v>
      </c>
      <c r="E137" s="136" t="str">
        <f>"(Note G) (Worksheet F, ln "&amp;'WS F Misc Exp'!A33&amp;".C)"</f>
        <v>(Note G) (Worksheet F, ln 14.C)</v>
      </c>
      <c r="F137" s="136"/>
      <c r="G137" s="149">
        <f>+'WS F Misc Exp'!D33</f>
        <v>91386.167447652377</v>
      </c>
      <c r="H137" s="149"/>
      <c r="I137" s="41"/>
      <c r="J137" s="41"/>
      <c r="K137"/>
      <c r="L137"/>
      <c r="M137" s="132"/>
      <c r="N137" s="136"/>
      <c r="O137" s="136"/>
    </row>
    <row r="138" spans="2:15">
      <c r="B138" s="137">
        <f t="shared" si="3"/>
        <v>64</v>
      </c>
      <c r="C138" s="138"/>
      <c r="D138" s="132" t="s">
        <v>352</v>
      </c>
      <c r="E138" s="136" t="s">
        <v>391</v>
      </c>
      <c r="F138" s="136"/>
      <c r="G138" s="117">
        <v>0</v>
      </c>
      <c r="H138" s="149"/>
      <c r="I138" s="41"/>
      <c r="J138" s="41"/>
      <c r="K138"/>
      <c r="L138"/>
      <c r="M138" s="132"/>
      <c r="N138" s="136"/>
      <c r="O138" s="136"/>
    </row>
    <row r="139" spans="2:15" ht="15.75" thickBot="1">
      <c r="B139" s="137">
        <f t="shared" si="3"/>
        <v>65</v>
      </c>
      <c r="C139" s="138"/>
      <c r="D139" s="132" t="s">
        <v>127</v>
      </c>
      <c r="E139" s="136" t="str">
        <f>"(Note I) (Worksheet F, ln "&amp;'WS F Misc Exp'!A21&amp;".C)"</f>
        <v>(Note I) (Worksheet F, ln 4.C)</v>
      </c>
      <c r="F139" s="136"/>
      <c r="G139" s="184">
        <f>+'WS F Misc Exp'!D21</f>
        <v>0</v>
      </c>
      <c r="H139" s="149"/>
      <c r="I139" s="41"/>
      <c r="J139" s="41"/>
      <c r="K139"/>
      <c r="L139"/>
      <c r="M139" s="132"/>
      <c r="N139" s="136"/>
      <c r="O139" s="136"/>
    </row>
    <row r="140" spans="2:15">
      <c r="B140" s="137">
        <f t="shared" si="3"/>
        <v>66</v>
      </c>
      <c r="C140" s="138"/>
      <c r="D140" s="132" t="s">
        <v>194</v>
      </c>
      <c r="E140" s="136" t="str">
        <f>"(lns "&amp;B135&amp;" - "&amp;B137&amp;" - "&amp;B138&amp;" - "&amp;B139&amp;")"</f>
        <v>(lns 61 - 63 - 64 - 65)</v>
      </c>
      <c r="F140" s="132"/>
      <c r="G140" s="149">
        <f>G135-G137-G138-G139</f>
        <v>2810081.7248412189</v>
      </c>
      <c r="H140" s="136"/>
      <c r="I140" s="150" t="s">
        <v>412</v>
      </c>
      <c r="J140" s="151">
        <f>L217</f>
        <v>1</v>
      </c>
      <c r="K140" s="136"/>
      <c r="L140" s="149">
        <f>+J140*G140</f>
        <v>2810081.7248412189</v>
      </c>
      <c r="M140" s="132"/>
      <c r="N140" s="136"/>
      <c r="O140" s="136"/>
    </row>
    <row r="141" spans="2:15">
      <c r="B141" s="137"/>
      <c r="C141" s="138"/>
      <c r="D141" s="132"/>
      <c r="E141" s="136"/>
      <c r="F141" s="136"/>
      <c r="G141" s="41"/>
      <c r="H141" s="149"/>
      <c r="I141" s="41"/>
      <c r="J141" s="41"/>
      <c r="K141"/>
      <c r="L141"/>
      <c r="M141" s="132"/>
      <c r="N141" s="136"/>
      <c r="O141" s="136"/>
    </row>
    <row r="142" spans="2:15">
      <c r="B142" s="137">
        <f>+B140+1</f>
        <v>67</v>
      </c>
      <c r="C142" s="138"/>
      <c r="D142" s="132" t="s">
        <v>395</v>
      </c>
      <c r="E142" s="136" t="s">
        <v>755</v>
      </c>
      <c r="F142" s="136"/>
      <c r="G142" s="117">
        <v>680871.27474104555</v>
      </c>
      <c r="H142" s="201" t="s">
        <v>406</v>
      </c>
      <c r="I142" s="186"/>
      <c r="J142" s="186"/>
      <c r="K142" s="136"/>
      <c r="L142" s="149"/>
      <c r="M142" s="136"/>
      <c r="N142" s="136"/>
      <c r="O142" s="136"/>
    </row>
    <row r="143" spans="2:15">
      <c r="B143" s="137">
        <f t="shared" ref="B143:B149" si="4">+B142+1</f>
        <v>68</v>
      </c>
      <c r="C143" s="138"/>
      <c r="D143" s="132" t="s">
        <v>125</v>
      </c>
      <c r="E143" s="136" t="s">
        <v>199</v>
      </c>
      <c r="F143" s="136"/>
      <c r="G143" s="117">
        <v>34775.187436422202</v>
      </c>
      <c r="H143" s="149"/>
      <c r="I143" s="186"/>
      <c r="J143" s="132"/>
      <c r="K143" s="136"/>
      <c r="L143" s="149"/>
      <c r="M143"/>
      <c r="N143" s="136"/>
      <c r="O143" s="136"/>
    </row>
    <row r="144" spans="2:15">
      <c r="B144" s="137">
        <f t="shared" si="4"/>
        <v>69</v>
      </c>
      <c r="C144" s="138"/>
      <c r="D144" s="132" t="s">
        <v>124</v>
      </c>
      <c r="E144" s="136" t="s">
        <v>387</v>
      </c>
      <c r="F144" s="136"/>
      <c r="G144" s="117">
        <f>'WS F Misc Exp'!D44</f>
        <v>57.861545529884687</v>
      </c>
      <c r="H144" s="149"/>
      <c r="I144" s="186"/>
      <c r="J144" s="202"/>
      <c r="K144" s="136"/>
      <c r="L144" s="149"/>
      <c r="M144" s="136"/>
      <c r="N144" s="136"/>
      <c r="O144" s="136"/>
    </row>
    <row r="145" spans="2:15">
      <c r="B145" s="137">
        <f t="shared" si="4"/>
        <v>70</v>
      </c>
      <c r="C145" s="138"/>
      <c r="D145" s="132" t="s">
        <v>399</v>
      </c>
      <c r="E145" s="136" t="s">
        <v>388</v>
      </c>
      <c r="F145" s="136"/>
      <c r="G145" s="117">
        <f>'WS F Misc Exp'!D64</f>
        <v>0</v>
      </c>
      <c r="H145" s="149"/>
      <c r="I145" s="186"/>
      <c r="J145" s="186"/>
      <c r="K145" s="136"/>
      <c r="L145" s="149"/>
      <c r="M145" s="136"/>
      <c r="N145" s="136"/>
      <c r="O145" s="136"/>
    </row>
    <row r="146" spans="2:15">
      <c r="B146" s="137">
        <f t="shared" si="4"/>
        <v>71</v>
      </c>
      <c r="C146" s="138"/>
      <c r="D146" s="132" t="s">
        <v>126</v>
      </c>
      <c r="E146" s="136" t="s">
        <v>389</v>
      </c>
      <c r="F146" s="136"/>
      <c r="G146" s="117">
        <f>'WS F Misc Exp'!D72</f>
        <v>4821.1298703862585</v>
      </c>
      <c r="H146" s="149"/>
      <c r="I146" s="186"/>
      <c r="J146" s="186"/>
      <c r="K146" s="136"/>
      <c r="L146" s="149"/>
      <c r="M146" s="136"/>
      <c r="N146" s="136"/>
      <c r="O146" s="136"/>
    </row>
    <row r="147" spans="2:15">
      <c r="B147" s="137">
        <f>+B146+1</f>
        <v>72</v>
      </c>
      <c r="C147" s="138"/>
      <c r="D147" s="132" t="s">
        <v>400</v>
      </c>
      <c r="E147" s="136" t="str">
        <f>"(ln "&amp;B142&amp;" - sum ln "&amp;B143&amp;"  to ln "&amp;B146&amp;")"</f>
        <v>(ln 67 - sum ln 68  to ln 71)</v>
      </c>
      <c r="F147" s="136"/>
      <c r="G147" s="149">
        <f>G142-SUM(G143:G146)</f>
        <v>641217.0958887072</v>
      </c>
      <c r="H147" s="149"/>
      <c r="I147" s="150" t="s">
        <v>422</v>
      </c>
      <c r="J147" s="151">
        <f>L235</f>
        <v>1</v>
      </c>
      <c r="K147" s="136"/>
      <c r="L147" s="149">
        <f>+J147*G147</f>
        <v>641217.0958887072</v>
      </c>
      <c r="M147" s="136"/>
      <c r="N147" s="136"/>
      <c r="O147" s="136"/>
    </row>
    <row r="148" spans="2:15">
      <c r="B148" s="137">
        <f t="shared" si="4"/>
        <v>73</v>
      </c>
      <c r="C148" s="138"/>
      <c r="D148" s="132" t="s">
        <v>479</v>
      </c>
      <c r="E148" s="136" t="str">
        <f>"(ln "&amp;B143&amp;")"</f>
        <v>(ln 68)</v>
      </c>
      <c r="F148" s="136"/>
      <c r="G148" s="149">
        <f>+G143</f>
        <v>34775.187436422202</v>
      </c>
      <c r="H148" s="149"/>
      <c r="I148" s="161" t="s">
        <v>634</v>
      </c>
      <c r="J148" s="151">
        <f>J70</f>
        <v>1</v>
      </c>
      <c r="K148" s="136"/>
      <c r="L148" s="149">
        <f>+J148*G148</f>
        <v>34775.187436422202</v>
      </c>
      <c r="M148" s="136"/>
      <c r="N148" s="136"/>
      <c r="O148" s="136"/>
    </row>
    <row r="149" spans="2:15">
      <c r="B149" s="137">
        <f t="shared" si="4"/>
        <v>74</v>
      </c>
      <c r="C149" s="138"/>
      <c r="D149" s="132" t="s">
        <v>1</v>
      </c>
      <c r="E149" s="136" t="str">
        <f>"Worksheet F ln "&amp;'WS F Misc Exp'!A44&amp;".(E) (Note L)"</f>
        <v>Worksheet F ln 21.(E) (Note L)</v>
      </c>
      <c r="F149" s="136"/>
      <c r="G149" s="149">
        <f>+'WS F Misc Exp'!F44</f>
        <v>50.929206769415515</v>
      </c>
      <c r="H149" s="149"/>
      <c r="I149" s="150" t="s">
        <v>412</v>
      </c>
      <c r="J149" s="151">
        <f>L217</f>
        <v>1</v>
      </c>
      <c r="K149" s="136"/>
      <c r="L149" s="149">
        <f>J149*G149</f>
        <v>50.929206769415515</v>
      </c>
      <c r="M149" s="136"/>
      <c r="N149" s="136"/>
      <c r="O149" s="136"/>
    </row>
    <row r="150" spans="2:15">
      <c r="B150" s="137">
        <f>B149+1</f>
        <v>75</v>
      </c>
      <c r="C150" s="138"/>
      <c r="D150" s="132" t="s">
        <v>25</v>
      </c>
      <c r="E150" s="136" t="str">
        <f>"Worksheet F ln "&amp;'WS F Misc Exp'!A64&amp;".(E) (Note L)"</f>
        <v>Worksheet F ln 38.(E) (Note L)</v>
      </c>
      <c r="F150" s="136"/>
      <c r="G150" s="149">
        <f>+'WS F Misc Exp'!F64</f>
        <v>0</v>
      </c>
      <c r="H150" s="136"/>
      <c r="I150" s="150" t="s">
        <v>412</v>
      </c>
      <c r="J150" s="151">
        <f>L217</f>
        <v>1</v>
      </c>
      <c r="K150" s="136"/>
      <c r="L150" s="149">
        <f>+J150*G150</f>
        <v>0</v>
      </c>
      <c r="M150" s="136"/>
      <c r="N150" s="136"/>
      <c r="O150" s="136"/>
    </row>
    <row r="151" spans="2:15">
      <c r="B151" s="137">
        <f>+B150+1</f>
        <v>76</v>
      </c>
      <c r="C151" s="138"/>
      <c r="D151" s="132" t="s">
        <v>26</v>
      </c>
      <c r="E151" s="136" t="str">
        <f>"Worksheet F ln "&amp;'WS F Misc Exp'!A72&amp;".(E) (Note L)"</f>
        <v>Worksheet F ln 43.(E) (Note L)</v>
      </c>
      <c r="F151" s="136"/>
      <c r="G151" s="149">
        <f>+'WS F Misc Exp'!F72</f>
        <v>396.73429644690987</v>
      </c>
      <c r="H151" s="1103"/>
      <c r="I151" s="150" t="s">
        <v>420</v>
      </c>
      <c r="J151" s="151">
        <v>1</v>
      </c>
      <c r="K151" s="136"/>
      <c r="L151" s="149">
        <f>+J151*G151</f>
        <v>396.73429644690987</v>
      </c>
      <c r="M151" s="136"/>
      <c r="N151" s="136"/>
      <c r="O151" s="136"/>
    </row>
    <row r="152" spans="2:15">
      <c r="B152" s="137">
        <f>+B151+1</f>
        <v>77</v>
      </c>
      <c r="C152" s="138"/>
      <c r="D152" s="951" t="s">
        <v>790</v>
      </c>
      <c r="E152" s="136" t="str">
        <f>"Worksheet O Ln "&amp;'Worksheet O'!A33&amp;"."&amp;'Worksheet O'!D11&amp;", (Note K &amp; M)"</f>
        <v>Worksheet O Ln 16.(B), (Note K &amp; M)</v>
      </c>
      <c r="F152" s="136"/>
      <c r="G152" s="149">
        <f>'Worksheet O'!D33</f>
        <v>26116.242186175368</v>
      </c>
      <c r="H152" s="1103"/>
      <c r="I152" s="150" t="s">
        <v>422</v>
      </c>
      <c r="J152" s="151">
        <f>L235</f>
        <v>1</v>
      </c>
      <c r="K152" s="136"/>
      <c r="L152" s="149">
        <f>+J152*G152</f>
        <v>26116.242186175368</v>
      </c>
      <c r="M152" s="136"/>
      <c r="N152" s="136"/>
      <c r="O152" s="136"/>
    </row>
    <row r="153" spans="2:15" ht="15.75" thickBot="1">
      <c r="B153" s="137"/>
      <c r="C153" s="138"/>
      <c r="D153" s="132"/>
      <c r="E153" s="136"/>
      <c r="F153" s="136"/>
      <c r="G153" s="113"/>
      <c r="H153" s="1103"/>
      <c r="I153" s="150"/>
      <c r="J153" s="151"/>
      <c r="K153" s="136"/>
      <c r="L153" s="184"/>
      <c r="M153" s="136"/>
      <c r="N153" s="136"/>
      <c r="O153" s="136"/>
    </row>
    <row r="154" spans="2:15">
      <c r="B154" s="137">
        <f>+B152+1</f>
        <v>78</v>
      </c>
      <c r="C154" s="138"/>
      <c r="D154" s="132" t="s">
        <v>401</v>
      </c>
      <c r="E154" s="136" t="str">
        <f>"(sum lns "&amp;B147&amp;"  to "&amp;B152&amp;")"</f>
        <v>(sum lns 72  to 77)</v>
      </c>
      <c r="F154" s="136"/>
      <c r="G154" s="149">
        <f>SUM(G147:G153)</f>
        <v>702556.18901452119</v>
      </c>
      <c r="H154" s="149"/>
      <c r="I154" s="150"/>
      <c r="J154" s="186"/>
      <c r="K154" s="136"/>
      <c r="L154" s="149">
        <f>SUM(L147:L153)</f>
        <v>702556.18901452119</v>
      </c>
      <c r="M154" s="136"/>
      <c r="N154" s="149"/>
      <c r="O154" s="136"/>
    </row>
    <row r="155" spans="2:15" ht="15.75" thickBot="1">
      <c r="B155" s="137"/>
      <c r="C155" s="138"/>
      <c r="D155" s="132"/>
      <c r="E155" s="136"/>
      <c r="F155" s="136"/>
      <c r="G155" s="184"/>
      <c r="H155" s="136"/>
      <c r="I155" s="150"/>
      <c r="J155" s="186"/>
      <c r="K155" s="136"/>
      <c r="L155" s="184"/>
      <c r="M155" s="136"/>
      <c r="N155" s="136"/>
      <c r="O155" s="136"/>
    </row>
    <row r="156" spans="2:15">
      <c r="B156" s="137">
        <f>+B154+1</f>
        <v>79</v>
      </c>
      <c r="C156" s="138"/>
      <c r="D156" s="132" t="s">
        <v>196</v>
      </c>
      <c r="E156" s="136" t="str">
        <f>"(ln "&amp;B140&amp;" + ln "&amp;B154&amp;")"</f>
        <v>(ln 66 + ln 78)</v>
      </c>
      <c r="F156" s="136"/>
      <c r="G156" s="149">
        <f>+G140+G154</f>
        <v>3512637.9138557399</v>
      </c>
      <c r="H156" s="149"/>
      <c r="I156" s="150"/>
      <c r="J156" s="136"/>
      <c r="K156" s="136"/>
      <c r="L156" s="149">
        <f>L140+L154</f>
        <v>3512637.9138557399</v>
      </c>
      <c r="M156" s="136"/>
      <c r="N156" s="136"/>
      <c r="O156" s="136"/>
    </row>
    <row r="157" spans="2:15" ht="15.75" thickBot="1">
      <c r="B157" s="188">
        <f>+B156+1</f>
        <v>80</v>
      </c>
      <c r="C157" s="138"/>
      <c r="D157" s="132" t="s">
        <v>272</v>
      </c>
      <c r="E157" s="132"/>
      <c r="F157" s="136"/>
      <c r="G157" s="113"/>
      <c r="H157" s="149"/>
      <c r="I157" s="150" t="s">
        <v>420</v>
      </c>
      <c r="J157" s="151">
        <f>J63</f>
        <v>0</v>
      </c>
      <c r="K157" s="136"/>
      <c r="L157" s="184">
        <f>J157*G157</f>
        <v>0</v>
      </c>
      <c r="M157" s="136"/>
      <c r="N157" s="136"/>
      <c r="O157" s="136"/>
    </row>
    <row r="158" spans="2:15">
      <c r="B158" s="137">
        <f>+B157+1</f>
        <v>81</v>
      </c>
      <c r="C158" s="138"/>
      <c r="D158" s="132" t="s">
        <v>402</v>
      </c>
      <c r="E158" s="136" t="str">
        <f>"(ln "&amp;B156&amp;" + ln "&amp;B157&amp;")"</f>
        <v>(ln 79 + ln 80)</v>
      </c>
      <c r="F158" s="136"/>
      <c r="G158" s="149">
        <f>+G156+G157</f>
        <v>3512637.9138557399</v>
      </c>
      <c r="H158" s="149"/>
      <c r="I158" s="150"/>
      <c r="J158" s="136"/>
      <c r="K158" s="136"/>
      <c r="L158" s="149">
        <f>+L156+L157</f>
        <v>3512637.9138557399</v>
      </c>
      <c r="M158" s="136"/>
      <c r="N158" s="136"/>
      <c r="O158" s="136"/>
    </row>
    <row r="159" spans="2:15">
      <c r="B159" s="137"/>
      <c r="C159" s="138"/>
      <c r="D159" s="132"/>
      <c r="E159" s="136"/>
      <c r="F159" s="136"/>
      <c r="G159" s="149"/>
      <c r="H159" s="136"/>
      <c r="I159" s="136"/>
      <c r="J159" s="136"/>
      <c r="K159" s="136"/>
      <c r="L159" s="149"/>
      <c r="M159" s="136"/>
      <c r="N159" s="136"/>
      <c r="O159" s="136"/>
    </row>
    <row r="160" spans="2:15">
      <c r="B160" s="137">
        <f>+B158+1</f>
        <v>82</v>
      </c>
      <c r="C160" s="138"/>
      <c r="D160" s="132" t="s">
        <v>405</v>
      </c>
      <c r="E160" s="150"/>
      <c r="F160" s="150"/>
      <c r="G160" s="149"/>
      <c r="H160" s="136"/>
      <c r="I160" s="150"/>
      <c r="J160" s="136"/>
      <c r="K160" s="136"/>
      <c r="L160" s="149"/>
      <c r="M160" s="136"/>
      <c r="N160" s="136"/>
      <c r="O160" s="136"/>
    </row>
    <row r="161" spans="2:15">
      <c r="B161" s="188">
        <f>+B160+1</f>
        <v>83</v>
      </c>
      <c r="C161" s="138"/>
      <c r="D161" s="180" t="str">
        <f>+D135</f>
        <v xml:space="preserve">  Transmission </v>
      </c>
      <c r="E161" s="147" t="s">
        <v>200</v>
      </c>
      <c r="F161" s="181"/>
      <c r="G161" s="121">
        <v>4404333.8212330546</v>
      </c>
      <c r="H161" s="1102"/>
      <c r="I161" s="203" t="s">
        <v>412</v>
      </c>
      <c r="J161" s="151">
        <f>L217</f>
        <v>1</v>
      </c>
      <c r="K161" s="182"/>
      <c r="L161" s="183">
        <f>J161*G161</f>
        <v>4404333.8212330546</v>
      </c>
      <c r="M161" s="182"/>
      <c r="N161" s="136"/>
      <c r="O161" s="136"/>
    </row>
    <row r="162" spans="2:15">
      <c r="B162" s="137">
        <f>+B161+1</f>
        <v>84</v>
      </c>
      <c r="C162" s="138"/>
      <c r="D162" s="132" t="s">
        <v>426</v>
      </c>
      <c r="E162" s="181" t="s">
        <v>201</v>
      </c>
      <c r="F162" s="136"/>
      <c r="G162" s="121">
        <v>262095.53287781496</v>
      </c>
      <c r="H162" s="149"/>
      <c r="I162" s="150" t="s">
        <v>422</v>
      </c>
      <c r="J162" s="151">
        <f>L235</f>
        <v>1</v>
      </c>
      <c r="K162" s="136"/>
      <c r="L162" s="149">
        <f>+J162*G162</f>
        <v>262095.53287781496</v>
      </c>
      <c r="M162" s="136"/>
      <c r="N162" s="136"/>
      <c r="O162" s="136"/>
    </row>
    <row r="163" spans="2:15">
      <c r="B163" s="137">
        <f>+B162+1</f>
        <v>85</v>
      </c>
      <c r="C163" s="138"/>
      <c r="D163" s="132" t="s">
        <v>427</v>
      </c>
      <c r="E163" s="181" t="s">
        <v>202</v>
      </c>
      <c r="F163" s="136"/>
      <c r="G163" s="121">
        <v>0</v>
      </c>
      <c r="H163" s="149"/>
      <c r="I163" s="150" t="s">
        <v>422</v>
      </c>
      <c r="J163" s="151">
        <f>L235</f>
        <v>1</v>
      </c>
      <c r="K163" s="136"/>
      <c r="L163" s="149">
        <f>+J163*G163</f>
        <v>0</v>
      </c>
      <c r="M163" s="136"/>
      <c r="N163" s="136"/>
      <c r="O163" s="136"/>
    </row>
    <row r="164" spans="2:15" ht="15.75" thickBot="1">
      <c r="B164" s="137"/>
      <c r="C164" s="138"/>
      <c r="D164" s="132"/>
      <c r="E164" s="147"/>
      <c r="F164" s="1100"/>
      <c r="G164" s="1101"/>
      <c r="H164" s="1098"/>
      <c r="I164" s="150"/>
      <c r="J164" s="151"/>
      <c r="K164" s="136"/>
      <c r="L164" s="184"/>
      <c r="M164" s="136"/>
      <c r="N164" s="136"/>
      <c r="O164" s="136"/>
    </row>
    <row r="165" spans="2:15" ht="15" customHeight="1">
      <c r="B165" s="137">
        <f>+B163+1</f>
        <v>86</v>
      </c>
      <c r="C165" s="138"/>
      <c r="D165" s="132" t="s">
        <v>96</v>
      </c>
      <c r="E165" s="204" t="str">
        <f>"(Ln "&amp;B161&amp;"+"&amp;B162&amp;"+"&amp;B163&amp;")"</f>
        <v>(Ln 83+84+85)</v>
      </c>
      <c r="F165" s="136"/>
      <c r="G165" s="149">
        <f>+G161+G162+G163+G164</f>
        <v>4666429.3541108696</v>
      </c>
      <c r="H165" s="136"/>
      <c r="I165" s="150"/>
      <c r="J165" s="136"/>
      <c r="K165" s="136"/>
      <c r="L165" s="149">
        <f>+L161+L162+L163+L164</f>
        <v>4666429.3541108696</v>
      </c>
      <c r="M165" s="136"/>
      <c r="N165" s="136"/>
      <c r="O165" s="136"/>
    </row>
    <row r="166" spans="2:15">
      <c r="B166" s="137"/>
      <c r="C166" s="138"/>
      <c r="D166" s="132"/>
      <c r="E166" s="205"/>
      <c r="F166" s="136"/>
      <c r="G166" s="149"/>
      <c r="H166" s="136"/>
      <c r="I166" s="150"/>
      <c r="J166" s="136"/>
      <c r="K166" s="136"/>
      <c r="L166" s="149"/>
      <c r="M166" s="136"/>
      <c r="N166" s="136"/>
      <c r="O166" s="136"/>
    </row>
    <row r="167" spans="2:15">
      <c r="B167" s="137">
        <f>+B165+1</f>
        <v>87</v>
      </c>
      <c r="C167" s="138"/>
      <c r="D167" s="132" t="s">
        <v>357</v>
      </c>
      <c r="E167" s="127" t="s">
        <v>203</v>
      </c>
      <c r="G167" s="149"/>
      <c r="H167" s="136"/>
      <c r="I167" s="150"/>
      <c r="J167" s="136"/>
      <c r="K167" s="136"/>
      <c r="L167" s="149"/>
      <c r="M167" s="136"/>
      <c r="N167" s="196"/>
      <c r="O167" s="136"/>
    </row>
    <row r="168" spans="2:15">
      <c r="B168" s="137">
        <f t="shared" ref="B168:B173" si="5">+B167+1</f>
        <v>88</v>
      </c>
      <c r="C168" s="138"/>
      <c r="D168" s="132" t="s">
        <v>428</v>
      </c>
      <c r="G168" s="149"/>
      <c r="H168" s="136"/>
      <c r="I168" s="150"/>
      <c r="K168" s="136"/>
      <c r="L168" s="149"/>
      <c r="M168" s="136"/>
      <c r="N168" s="136"/>
      <c r="O168" s="136"/>
    </row>
    <row r="169" spans="2:15">
      <c r="B169" s="137">
        <f t="shared" si="5"/>
        <v>89</v>
      </c>
      <c r="C169" s="138"/>
      <c r="D169" s="132" t="s">
        <v>429</v>
      </c>
      <c r="E169" s="136" t="str">
        <f>"Worksheet H ln "&amp;'WS H-p1 Other Taxes'!A43&amp;"."&amp;'WS H-p1 Other Taxes'!I10&amp;""</f>
        <v>Worksheet H ln 23.(D)</v>
      </c>
      <c r="F169" s="136"/>
      <c r="G169" s="149">
        <f>+'WS H-p1 Other Taxes'!I43</f>
        <v>0</v>
      </c>
      <c r="H169" s="149"/>
      <c r="I169" s="150" t="s">
        <v>422</v>
      </c>
      <c r="J169" s="151">
        <f>L235</f>
        <v>1</v>
      </c>
      <c r="K169" s="136"/>
      <c r="L169" s="149">
        <f>+J169*G169</f>
        <v>0</v>
      </c>
      <c r="M169" s="191"/>
      <c r="N169" s="136"/>
      <c r="O169" s="136"/>
    </row>
    <row r="170" spans="2:15">
      <c r="B170" s="137">
        <f t="shared" si="5"/>
        <v>90</v>
      </c>
      <c r="C170" s="138"/>
      <c r="D170" s="132" t="s">
        <v>430</v>
      </c>
      <c r="E170" s="136" t="s">
        <v>406</v>
      </c>
      <c r="F170" s="136"/>
      <c r="G170" s="149"/>
      <c r="H170" s="149"/>
      <c r="I170" s="150"/>
      <c r="K170" s="136"/>
      <c r="L170" s="149"/>
      <c r="M170" s="136"/>
      <c r="N170" s="136"/>
      <c r="O170" s="136"/>
    </row>
    <row r="171" spans="2:15">
      <c r="B171" s="137">
        <f t="shared" si="5"/>
        <v>91</v>
      </c>
      <c r="C171" s="138"/>
      <c r="D171" s="132" t="s">
        <v>431</v>
      </c>
      <c r="E171" s="136" t="str">
        <f>"Worksheet H-p2 ln "&amp;'WS H-p2 Detail of Tax Amts'!A22&amp;"."&amp;'WS H-p2 Detail of Tax Amts'!E19&amp; " &amp; ln "&amp;'WS H-p2 Detail of Tax Amts'!A22&amp;"."&amp;'WS H-p2 Detail of Tax Amts'!I19&amp;""</f>
        <v>Worksheet H-p2 ln 3.(C) &amp; ln 3.(G)</v>
      </c>
      <c r="F171" s="136"/>
      <c r="G171" s="149">
        <f>'WS H-p2 Detail of Tax Amts'!E22</f>
        <v>895429.99999999977</v>
      </c>
      <c r="H171" s="149"/>
      <c r="I171" s="150" t="s">
        <v>420</v>
      </c>
      <c r="J171" s="151">
        <v>1</v>
      </c>
      <c r="K171" s="136"/>
      <c r="L171" s="149">
        <f>'WS H-p2 Detail of Tax Amts'!I22</f>
        <v>895429.99999999977</v>
      </c>
      <c r="M171" s="206"/>
      <c r="N171" s="196"/>
      <c r="O171" s="136"/>
    </row>
    <row r="172" spans="2:15">
      <c r="B172" s="137">
        <f t="shared" si="5"/>
        <v>92</v>
      </c>
      <c r="C172" s="138"/>
      <c r="D172" s="132" t="s">
        <v>482</v>
      </c>
      <c r="E172" s="136" t="str">
        <f>"Worksheet H ln "&amp;'WS H-p1 Other Taxes'!A43&amp;"."&amp;'WS H-p1 Other Taxes'!M10&amp;""</f>
        <v>Worksheet H ln 23.(F)</v>
      </c>
      <c r="F172" s="136"/>
      <c r="G172" s="149">
        <f>+'WS H-p1 Other Taxes'!M43</f>
        <v>0</v>
      </c>
      <c r="H172" s="41"/>
      <c r="I172" s="150" t="s">
        <v>418</v>
      </c>
      <c r="J172" s="151">
        <v>0</v>
      </c>
      <c r="K172" s="136"/>
      <c r="L172" s="149">
        <f>+J172*G172</f>
        <v>0</v>
      </c>
      <c r="M172" s="136"/>
      <c r="N172" s="136"/>
      <c r="O172" s="136"/>
    </row>
    <row r="173" spans="2:15" ht="15.75" thickBot="1">
      <c r="B173" s="137">
        <f t="shared" si="5"/>
        <v>93</v>
      </c>
      <c r="C173" s="138"/>
      <c r="D173" s="132" t="s">
        <v>432</v>
      </c>
      <c r="E173" s="136" t="str">
        <f>"Worksheet H ln "&amp;'WS H-p1 Other Taxes'!A43&amp;"."&amp;'WS H-p1 Other Taxes'!K10&amp;""</f>
        <v>Worksheet H ln 23.(E)</v>
      </c>
      <c r="F173" s="136"/>
      <c r="G173" s="184">
        <f>+'WS H-p1 Other Taxes'!K43</f>
        <v>118079.00000000003</v>
      </c>
      <c r="H173" s="41"/>
      <c r="I173" s="150" t="s">
        <v>756</v>
      </c>
      <c r="J173" s="151">
        <f>J70</f>
        <v>1</v>
      </c>
      <c r="K173" s="136"/>
      <c r="L173" s="184">
        <f>+J173*G173</f>
        <v>118079.00000000003</v>
      </c>
      <c r="M173" s="136"/>
      <c r="N173" s="136"/>
      <c r="O173" s="136"/>
    </row>
    <row r="174" spans="2:15">
      <c r="B174" s="137">
        <f>+B173+1</f>
        <v>94</v>
      </c>
      <c r="C174" s="138"/>
      <c r="D174" s="132" t="s">
        <v>358</v>
      </c>
      <c r="E174" s="147" t="str">
        <f>"(sum lns "&amp;B169&amp;" to "&amp;B173&amp;")"</f>
        <v>(sum lns 89 to 93)</v>
      </c>
      <c r="F174" s="136"/>
      <c r="G174" s="149">
        <f>SUM(G169:G173)</f>
        <v>1013508.9999999998</v>
      </c>
      <c r="H174" s="136"/>
      <c r="I174" s="150"/>
      <c r="J174" s="207"/>
      <c r="K174" s="136"/>
      <c r="L174" s="149">
        <f>SUM(L169:L173)</f>
        <v>1013508.9999999998</v>
      </c>
      <c r="M174" s="136"/>
      <c r="N174" s="136"/>
      <c r="O174" s="136"/>
    </row>
    <row r="175" spans="2:15">
      <c r="B175" s="137"/>
      <c r="C175" s="138"/>
      <c r="D175" s="132"/>
      <c r="E175" s="136"/>
      <c r="F175" s="136"/>
      <c r="G175" s="136"/>
      <c r="H175" s="136"/>
      <c r="I175" s="150"/>
      <c r="J175" s="207"/>
      <c r="K175" s="136"/>
      <c r="L175" s="136"/>
      <c r="M175" s="208"/>
      <c r="N175" s="136"/>
      <c r="O175" s="136"/>
    </row>
    <row r="176" spans="2:15">
      <c r="B176" s="137">
        <f>+B174+1</f>
        <v>95</v>
      </c>
      <c r="C176" s="138"/>
      <c r="D176" s="132" t="s">
        <v>131</v>
      </c>
      <c r="E176" s="136" t="s">
        <v>204</v>
      </c>
      <c r="F176" s="209"/>
      <c r="G176" s="136"/>
      <c r="H176" s="41"/>
      <c r="I176" s="197"/>
      <c r="K176" s="136"/>
      <c r="L176" s="210"/>
      <c r="M176" s="136"/>
      <c r="N176" s="136"/>
      <c r="O176" s="136"/>
    </row>
    <row r="177" spans="2:15">
      <c r="B177" s="137">
        <f t="shared" ref="B177:B182" si="6">+B176+1</f>
        <v>96</v>
      </c>
      <c r="C177" s="138"/>
      <c r="D177" s="191" t="s">
        <v>132</v>
      </c>
      <c r="E177" s="136"/>
      <c r="F177" s="211"/>
      <c r="G177" s="212">
        <f>IF(F357&gt;0,1-(((1-F358)*(1-F357))/(1-F358*F357*F359)),0)</f>
        <v>0.26142900000000002</v>
      </c>
      <c r="H177" s="213"/>
      <c r="I177" s="213"/>
      <c r="K177" s="214"/>
      <c r="L177" s="210"/>
      <c r="M177" s="136"/>
      <c r="N177" s="136"/>
      <c r="O177" s="136"/>
    </row>
    <row r="178" spans="2:15">
      <c r="B178" s="137">
        <f t="shared" si="6"/>
        <v>97</v>
      </c>
      <c r="C178" s="138"/>
      <c r="D178" s="127" t="s">
        <v>133</v>
      </c>
      <c r="E178" s="136"/>
      <c r="F178" s="211"/>
      <c r="G178" s="212">
        <f>IF(L249&gt;0,($G177/(1-$G177))*(1-$L249/$L252),0)</f>
        <v>0.26040785931942406</v>
      </c>
      <c r="H178" s="213"/>
      <c r="I178" s="213"/>
      <c r="K178" s="214"/>
      <c r="L178" s="210"/>
      <c r="M178" s="136"/>
      <c r="N178" s="136"/>
      <c r="O178" s="136"/>
    </row>
    <row r="179" spans="2:15">
      <c r="B179" s="137">
        <f t="shared" si="6"/>
        <v>98</v>
      </c>
      <c r="C179" s="138"/>
      <c r="D179" s="132" t="str">
        <f>"       where WCLTD=(ln "&amp;B249&amp;") and WACC = (ln "&amp;B252&amp;")"</f>
        <v xml:space="preserve">       where WCLTD=(ln 136) and WACC = (ln 139)</v>
      </c>
      <c r="E179" s="136"/>
      <c r="F179" s="209"/>
      <c r="G179" s="136"/>
      <c r="H179" s="213"/>
      <c r="I179" s="213"/>
      <c r="J179" s="215"/>
      <c r="K179" s="214"/>
      <c r="L179" s="216"/>
      <c r="M179" s="136"/>
      <c r="N179" s="136"/>
      <c r="O179" s="136"/>
    </row>
    <row r="180" spans="2:15">
      <c r="B180" s="137">
        <f t="shared" si="6"/>
        <v>99</v>
      </c>
      <c r="C180" s="138"/>
      <c r="D180" s="132" t="s">
        <v>205</v>
      </c>
      <c r="E180" s="217"/>
      <c r="F180" s="211"/>
      <c r="G180" s="136"/>
      <c r="H180" s="41"/>
      <c r="I180" s="197"/>
      <c r="J180" s="215"/>
      <c r="K180" s="214"/>
      <c r="L180" s="210"/>
      <c r="M180" s="136"/>
      <c r="N180" s="136"/>
      <c r="O180" s="136"/>
    </row>
    <row r="181" spans="2:15">
      <c r="B181" s="137">
        <f t="shared" si="6"/>
        <v>100</v>
      </c>
      <c r="C181" s="138"/>
      <c r="D181" s="191" t="str">
        <f>"      GRCF=1 / (1 - T)  = (from ln "&amp;B177&amp;")"</f>
        <v xml:space="preserve">      GRCF=1 / (1 - T)  = (from ln 96)</v>
      </c>
      <c r="E181" s="209"/>
      <c r="F181" s="209"/>
      <c r="G181" s="218">
        <f>IF(G177&gt;0,1/(1-G177),0)</f>
        <v>1.3539659694193247</v>
      </c>
      <c r="H181" s="41"/>
      <c r="I181" s="161"/>
      <c r="J181" s="219"/>
      <c r="K181" s="220"/>
      <c r="L181" s="221"/>
      <c r="M181" s="136"/>
      <c r="N181" s="136"/>
      <c r="O181" s="136"/>
    </row>
    <row r="182" spans="2:15">
      <c r="B182" s="137">
        <f t="shared" si="6"/>
        <v>101</v>
      </c>
      <c r="C182" s="138"/>
      <c r="D182" s="132" t="s">
        <v>134</v>
      </c>
      <c r="E182" s="186" t="s">
        <v>292</v>
      </c>
      <c r="F182" s="209"/>
      <c r="G182" s="121">
        <v>0</v>
      </c>
      <c r="H182" s="3"/>
      <c r="I182" s="161"/>
      <c r="J182" s="914"/>
      <c r="K182" s="149"/>
      <c r="M182" s="150"/>
      <c r="N182" s="136"/>
      <c r="O182" s="136"/>
    </row>
    <row r="183" spans="2:15">
      <c r="B183" s="137">
        <f t="shared" ref="B183:B189" si="7">+B182+1</f>
        <v>102</v>
      </c>
      <c r="C183" s="138"/>
      <c r="D183" s="132" t="s">
        <v>550</v>
      </c>
      <c r="E183" s="136" t="s">
        <v>757</v>
      </c>
      <c r="F183" s="211"/>
      <c r="G183" s="121">
        <v>1020.0000000000005</v>
      </c>
      <c r="H183" s="3"/>
      <c r="I183" s="163" t="s">
        <v>638</v>
      </c>
      <c r="J183" s="151">
        <f>NP_h</f>
        <v>1</v>
      </c>
      <c r="K183" s="149"/>
      <c r="L183" s="149">
        <f>+G183*J183</f>
        <v>1020.0000000000005</v>
      </c>
      <c r="M183" s="136"/>
      <c r="N183" s="136"/>
      <c r="O183" s="136"/>
    </row>
    <row r="184" spans="2:15">
      <c r="B184" s="137">
        <f t="shared" si="7"/>
        <v>103</v>
      </c>
      <c r="C184" s="138"/>
      <c r="D184" s="132" t="s">
        <v>637</v>
      </c>
      <c r="E184" s="136" t="s">
        <v>757</v>
      </c>
      <c r="F184" s="211"/>
      <c r="G184" s="121">
        <v>25577.613209980005</v>
      </c>
      <c r="H184" s="3"/>
      <c r="I184" s="163" t="s">
        <v>638</v>
      </c>
      <c r="J184" s="151">
        <f>NP_h</f>
        <v>1</v>
      </c>
      <c r="K184" s="149"/>
      <c r="L184" s="149">
        <f>+G184*J184</f>
        <v>25577.613209980005</v>
      </c>
      <c r="M184" s="136"/>
      <c r="N184" s="136"/>
      <c r="O184" s="136"/>
    </row>
    <row r="185" spans="2:15">
      <c r="B185" s="137">
        <f t="shared" si="7"/>
        <v>104</v>
      </c>
      <c r="C185" s="138"/>
      <c r="D185" s="191" t="s">
        <v>135</v>
      </c>
      <c r="E185" s="222" t="str">
        <f>"(ln "&amp;B178&amp;" * ln "&amp;B191&amp;")"</f>
        <v>(ln 97 * ln 109)</v>
      </c>
      <c r="F185" s="223"/>
      <c r="G185" s="149">
        <f>+G178*G191</f>
        <v>2642588.2848021854</v>
      </c>
      <c r="H185" s="3"/>
      <c r="I185" s="161"/>
      <c r="J185" s="908"/>
      <c r="K185" s="149"/>
      <c r="L185" s="149">
        <f>+L191*G178</f>
        <v>2680045.8501749258</v>
      </c>
      <c r="M185" s="136"/>
      <c r="N185" s="136"/>
      <c r="O185" s="136"/>
    </row>
    <row r="186" spans="2:15">
      <c r="B186" s="137">
        <f t="shared" si="7"/>
        <v>105</v>
      </c>
      <c r="C186" s="138"/>
      <c r="D186" s="127" t="s">
        <v>136</v>
      </c>
      <c r="E186" s="222" t="str">
        <f>"(ln "&amp;B181&amp;" * ln "&amp;B182&amp;")"</f>
        <v>(ln 100 * ln 101)</v>
      </c>
      <c r="F186" s="222"/>
      <c r="G186" s="149">
        <f>G181*G182</f>
        <v>0</v>
      </c>
      <c r="H186" s="3"/>
      <c r="I186" s="163" t="s">
        <v>638</v>
      </c>
      <c r="J186" s="151">
        <f>NP_h</f>
        <v>1</v>
      </c>
      <c r="K186" s="149"/>
      <c r="L186" s="149">
        <f>+G186*J186</f>
        <v>0</v>
      </c>
      <c r="M186" s="136"/>
      <c r="N186" s="136"/>
      <c r="O186" s="136"/>
    </row>
    <row r="187" spans="2:15">
      <c r="B187" s="137">
        <f t="shared" si="7"/>
        <v>106</v>
      </c>
      <c r="C187" s="138"/>
      <c r="D187" s="127" t="s">
        <v>550</v>
      </c>
      <c r="E187" s="222" t="str">
        <f>"(ln "&amp;B181&amp;" * ln "&amp;B183&amp;")"</f>
        <v>(ln 100 * ln 102)</v>
      </c>
      <c r="F187" s="222"/>
      <c r="G187" s="149">
        <f>G181*G183</f>
        <v>1381.0452888077118</v>
      </c>
      <c r="H187" s="3"/>
      <c r="I187" s="163"/>
      <c r="J187" s="151"/>
      <c r="K187" s="149"/>
      <c r="L187" s="149">
        <f>G181*L183</f>
        <v>1381.0452888077118</v>
      </c>
      <c r="M187" s="136"/>
      <c r="N187" s="136"/>
      <c r="O187" s="136"/>
    </row>
    <row r="188" spans="2:15">
      <c r="B188" s="137">
        <f t="shared" si="7"/>
        <v>107</v>
      </c>
      <c r="C188" s="138"/>
      <c r="D188" s="132" t="s">
        <v>637</v>
      </c>
      <c r="E188" s="222" t="str">
        <f>"(ln "&amp;B181&amp;" * ln "&amp;B184&amp;")"</f>
        <v>(ln 100 * ln 103)</v>
      </c>
      <c r="F188" s="222"/>
      <c r="G188" s="909">
        <f>G181*G184</f>
        <v>34631.217865283106</v>
      </c>
      <c r="H188" s="3"/>
      <c r="I188" s="163"/>
      <c r="J188" s="151"/>
      <c r="K188" s="149"/>
      <c r="L188" s="909">
        <f>G181*L184</f>
        <v>34631.217865283106</v>
      </c>
      <c r="M188" s="136"/>
      <c r="N188" s="136"/>
      <c r="O188" s="136"/>
    </row>
    <row r="189" spans="2:15">
      <c r="B189" s="188">
        <f t="shared" si="7"/>
        <v>108</v>
      </c>
      <c r="C189" s="138"/>
      <c r="D189" s="191" t="s">
        <v>359</v>
      </c>
      <c r="E189" s="136" t="str">
        <f>"(sum lns "&amp;B185&amp;" to "&amp;B188&amp;")"</f>
        <v>(sum lns 104 to 107)</v>
      </c>
      <c r="F189" s="222"/>
      <c r="G189" s="163">
        <f>SUM(G185:G188)</f>
        <v>2678600.5479562762</v>
      </c>
      <c r="H189" s="41"/>
      <c r="I189" s="161" t="s">
        <v>406</v>
      </c>
      <c r="J189" s="224"/>
      <c r="K189" s="149"/>
      <c r="L189" s="163">
        <f>SUM(L185:L188)</f>
        <v>2716058.1133290166</v>
      </c>
      <c r="M189" s="136"/>
      <c r="N189" s="136"/>
      <c r="O189" s="136"/>
    </row>
    <row r="190" spans="2:15">
      <c r="B190" s="188"/>
      <c r="C190" s="138"/>
      <c r="D190" s="191"/>
      <c r="E190" s="136"/>
      <c r="F190" s="222"/>
      <c r="G190" s="163"/>
      <c r="H190" s="41"/>
      <c r="I190" s="161"/>
      <c r="J190" s="224"/>
      <c r="K190" s="149"/>
      <c r="L190" s="163"/>
      <c r="M190" s="136"/>
      <c r="N190" s="136"/>
      <c r="O190" s="136"/>
    </row>
    <row r="191" spans="2:15">
      <c r="B191" s="188">
        <f>+B189+1</f>
        <v>109</v>
      </c>
      <c r="C191" s="138"/>
      <c r="D191" s="191" t="s">
        <v>481</v>
      </c>
      <c r="E191" s="191" t="str">
        <f>"(ln "&amp;B118&amp;" * ln "&amp;B252&amp;")"</f>
        <v>(ln 58 * ln 139)</v>
      </c>
      <c r="F191" s="187"/>
      <c r="G191" s="225">
        <f>+$L252*G118</f>
        <v>10147882.217182653</v>
      </c>
      <c r="H191" s="136"/>
      <c r="I191" s="161"/>
      <c r="J191" s="149"/>
      <c r="K191" s="149"/>
      <c r="L191" s="225">
        <f>+L252*L118</f>
        <v>10291724.132978266</v>
      </c>
      <c r="M191" s="136"/>
      <c r="N191" s="210"/>
      <c r="O191" s="210"/>
    </row>
    <row r="192" spans="2:15">
      <c r="B192" s="137"/>
      <c r="C192" s="138"/>
      <c r="D192" s="191"/>
      <c r="G192" s="149"/>
      <c r="H192" s="149"/>
      <c r="I192" s="161"/>
      <c r="J192" s="161"/>
      <c r="K192" s="149"/>
      <c r="L192" s="149"/>
      <c r="M192" s="136"/>
    </row>
    <row r="193" spans="2:13">
      <c r="B193" s="137">
        <f>+B191+1</f>
        <v>110</v>
      </c>
      <c r="C193" s="138"/>
      <c r="D193" s="226" t="s">
        <v>390</v>
      </c>
      <c r="F193" s="181"/>
      <c r="G193" s="149">
        <f>-'WS D IPP Credits'!C13</f>
        <v>0</v>
      </c>
      <c r="H193" s="149"/>
      <c r="I193" s="193" t="s">
        <v>420</v>
      </c>
      <c r="J193" s="151">
        <v>1</v>
      </c>
      <c r="K193" s="183"/>
      <c r="L193" s="149">
        <f>+J193*G193</f>
        <v>0</v>
      </c>
      <c r="M193" s="182"/>
    </row>
    <row r="194" spans="2:13">
      <c r="B194" s="137"/>
      <c r="C194" s="138"/>
      <c r="D194" s="226"/>
      <c r="F194" s="181"/>
      <c r="G194" s="149"/>
      <c r="H194" s="149"/>
      <c r="I194" s="193"/>
      <c r="J194" s="151"/>
      <c r="K194" s="183"/>
      <c r="L194" s="149"/>
      <c r="M194" s="182"/>
    </row>
    <row r="195" spans="2:13">
      <c r="B195" s="137">
        <f>+B193+1</f>
        <v>111</v>
      </c>
      <c r="C195" s="138"/>
      <c r="D195" s="226"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1"/>
      <c r="G195" s="149">
        <f>+'WS N - Sale of Plant Held'!O33</f>
        <v>0</v>
      </c>
      <c r="H195" s="149"/>
      <c r="I195" s="193"/>
      <c r="J195" s="151"/>
      <c r="K195" s="183"/>
      <c r="L195" s="149">
        <f>'WS N - Sale of Plant Held'!S33</f>
        <v>0</v>
      </c>
      <c r="M195" s="182"/>
    </row>
    <row r="196" spans="2:13">
      <c r="B196" s="137"/>
      <c r="C196" s="138"/>
      <c r="D196" s="226"/>
      <c r="F196" s="181"/>
      <c r="G196" s="149"/>
      <c r="H196" s="149"/>
      <c r="I196" s="193"/>
      <c r="J196" s="151"/>
      <c r="K196" s="183"/>
      <c r="L196" s="149"/>
      <c r="M196" s="182"/>
    </row>
    <row r="197" spans="2:13">
      <c r="B197" s="137">
        <f>+B195+1</f>
        <v>112</v>
      </c>
      <c r="C197" s="138"/>
      <c r="D197" s="226" t="str">
        <f>" Tax Impact on Net Loss / (Gain) on Sales of Plant Held for Future Use (ln "&amp;B195&amp;" * ln"&amp;B178&amp;")"</f>
        <v xml:space="preserve"> Tax Impact on Net Loss / (Gain) on Sales of Plant Held for Future Use (ln 111 * ln97)</v>
      </c>
      <c r="F197" s="181"/>
      <c r="G197" s="149">
        <f>-+G178*G195</f>
        <v>0</v>
      </c>
      <c r="H197" s="149"/>
      <c r="I197" s="193"/>
      <c r="J197" s="151"/>
      <c r="K197" s="183"/>
      <c r="L197" s="149">
        <f>L195*-G178</f>
        <v>0</v>
      </c>
      <c r="M197" s="182"/>
    </row>
    <row r="198" spans="2:13" ht="15.75" thickBot="1">
      <c r="B198" s="137"/>
      <c r="C198" s="138"/>
      <c r="D198" s="132"/>
      <c r="G198" s="184"/>
      <c r="H198" s="227"/>
      <c r="I198" s="161"/>
      <c r="J198" s="161"/>
      <c r="K198" s="149"/>
      <c r="L198" s="184"/>
      <c r="M198" s="136"/>
    </row>
    <row r="199" spans="2:13" ht="15.75" thickBot="1">
      <c r="B199" s="137">
        <f>+B197+1</f>
        <v>113</v>
      </c>
      <c r="C199" s="138"/>
      <c r="D199" s="127" t="s">
        <v>40</v>
      </c>
      <c r="G199" s="228">
        <f>+G193+G191+G189+G174+G165+G158+G195+G197</f>
        <v>22019059.033105537</v>
      </c>
      <c r="L199" s="228">
        <f>+L193+L191+L189+L174+L165+L158+L195+L197</f>
        <v>22200358.514273893</v>
      </c>
      <c r="M199" s="136"/>
    </row>
    <row r="200" spans="2:13" ht="15.75" thickTop="1">
      <c r="B200" s="137"/>
      <c r="C200" s="138"/>
      <c r="D200" s="132" t="str">
        <f>"    (sum lns "&amp;B158&amp;", "&amp;B165&amp;", "&amp;B174&amp;", "&amp;B189&amp;", "&amp;B191&amp;", "&amp;B193&amp;", "&amp;B195&amp;", "&amp;B197&amp;")"</f>
        <v xml:space="preserve">    (sum lns 81, 86, 94, 108, 109, 110, 111, 112)</v>
      </c>
      <c r="F200" s="145"/>
      <c r="M200" s="136"/>
    </row>
    <row r="201" spans="2:13">
      <c r="B201" s="137"/>
      <c r="C201" s="138"/>
      <c r="F201" s="145"/>
      <c r="M201" s="136"/>
    </row>
    <row r="202" spans="2:13">
      <c r="B202" s="137"/>
      <c r="C202" s="138"/>
      <c r="D202" s="132"/>
      <c r="F202" s="197" t="str">
        <f>F121</f>
        <v>AEPTCo subsidiaries in PJM</v>
      </c>
      <c r="M202" s="196"/>
    </row>
    <row r="203" spans="2:13">
      <c r="B203" s="137"/>
      <c r="C203" s="138"/>
      <c r="D203" s="132"/>
      <c r="F203" s="197" t="str">
        <f>F122</f>
        <v>Transmission Cost of Service Formula Rate</v>
      </c>
      <c r="M203" s="196"/>
    </row>
    <row r="204" spans="2:13">
      <c r="B204" s="127"/>
      <c r="C204" s="138"/>
      <c r="F204" s="197" t="str">
        <f>F123</f>
        <v>Utilizing  Actual/Projected FERC Form 1 Data</v>
      </c>
      <c r="M204" s="167"/>
    </row>
    <row r="205" spans="2:13">
      <c r="B205" s="137"/>
      <c r="C205" s="138"/>
      <c r="E205" s="197"/>
      <c r="F205" s="197"/>
      <c r="G205" s="197"/>
      <c r="H205" s="197"/>
      <c r="I205" s="197"/>
      <c r="J205" s="197"/>
      <c r="K205" s="197"/>
      <c r="M205" s="136"/>
    </row>
    <row r="206" spans="2:13">
      <c r="B206" s="137"/>
      <c r="C206" s="138"/>
      <c r="E206" s="132"/>
      <c r="F206" s="197" t="str">
        <f>F125</f>
        <v>AEP Appalachian Transmission Company</v>
      </c>
      <c r="G206" s="132"/>
      <c r="H206" s="132"/>
      <c r="I206" s="132"/>
      <c r="J206" s="132"/>
      <c r="K206" s="132"/>
      <c r="L206" s="132"/>
      <c r="M206" s="132"/>
    </row>
    <row r="207" spans="2:13">
      <c r="B207" s="137"/>
      <c r="C207" s="138"/>
      <c r="E207" s="132"/>
      <c r="F207" s="197"/>
      <c r="G207" s="132"/>
      <c r="H207" s="132"/>
      <c r="I207" s="132"/>
      <c r="J207" s="132"/>
      <c r="K207" s="132"/>
      <c r="L207" s="132"/>
      <c r="M207" s="132"/>
    </row>
    <row r="208" spans="2:13" ht="15.75">
      <c r="B208" s="137"/>
      <c r="C208" s="138"/>
      <c r="F208" s="198" t="s">
        <v>364</v>
      </c>
      <c r="H208" s="132"/>
      <c r="I208" s="132"/>
      <c r="J208" s="132"/>
      <c r="K208" s="132"/>
      <c r="L208" s="132"/>
      <c r="M208" s="136"/>
    </row>
    <row r="209" spans="2:16" ht="15.75">
      <c r="B209" s="137"/>
      <c r="C209" s="138"/>
      <c r="D209" s="229"/>
      <c r="E209" s="132"/>
      <c r="F209" s="132"/>
      <c r="G209" s="132"/>
      <c r="H209" s="132"/>
      <c r="I209" s="132"/>
      <c r="J209" s="132"/>
      <c r="K209" s="132"/>
      <c r="L209" s="132"/>
      <c r="M209" s="136"/>
    </row>
    <row r="210" spans="2:16" ht="15.75">
      <c r="B210" s="137" t="s">
        <v>408</v>
      </c>
      <c r="C210" s="138"/>
      <c r="D210" s="229"/>
      <c r="E210" s="132"/>
      <c r="F210" s="132"/>
      <c r="G210" s="132"/>
      <c r="H210" s="132"/>
      <c r="I210" s="132"/>
      <c r="J210" s="132"/>
      <c r="K210" s="132"/>
      <c r="L210" s="132"/>
      <c r="M210" s="136"/>
    </row>
    <row r="211" spans="2:16" ht="15.75" thickBot="1">
      <c r="B211" s="143" t="s">
        <v>409</v>
      </c>
      <c r="C211" s="138"/>
      <c r="D211" s="132" t="s">
        <v>502</v>
      </c>
      <c r="E211" s="132"/>
      <c r="F211" s="132"/>
      <c r="G211" s="132"/>
      <c r="H211" s="132"/>
      <c r="I211" s="132"/>
      <c r="J211" s="132"/>
      <c r="M211" s="136"/>
      <c r="P211"/>
    </row>
    <row r="212" spans="2:16">
      <c r="B212" s="137">
        <f>+B199+1</f>
        <v>114</v>
      </c>
      <c r="C212" s="138"/>
      <c r="D212" s="132" t="s">
        <v>456</v>
      </c>
      <c r="E212" s="230" t="str">
        <f>"(ln "&amp;B63&amp;")"</f>
        <v>(ln 19)</v>
      </c>
      <c r="F212" s="132"/>
      <c r="H212" s="136"/>
      <c r="I212" s="136"/>
      <c r="J212" s="136"/>
      <c r="K212" s="136"/>
      <c r="L212" s="149">
        <f>+G63</f>
        <v>160351300.63081348</v>
      </c>
      <c r="M212" s="136"/>
      <c r="P212"/>
    </row>
    <row r="213" spans="2:16">
      <c r="B213" s="137">
        <f>+B212+1</f>
        <v>115</v>
      </c>
      <c r="C213" s="138"/>
      <c r="D213" s="132" t="str">
        <f>"  Less transmission plant excluded from PJM Tariff  (Worksheet A, ln "&amp;'WS A - Rate Base Support'!A62&amp;"."&amp;'WS A - Rate Base Support'!E47&amp;") (Note P)"</f>
        <v xml:space="preserve">  Less transmission plant excluded from PJM Tariff  (Worksheet A, ln 42.(d)) (Note P)</v>
      </c>
      <c r="G213" s="197"/>
      <c r="L213" s="115">
        <f>'WS A - Rate Base Support'!E62</f>
        <v>0</v>
      </c>
      <c r="M213" s="136"/>
      <c r="P213"/>
    </row>
    <row r="214" spans="2:16" ht="36" customHeight="1" thickBot="1">
      <c r="B214" s="137">
        <f>+B213+1</f>
        <v>116</v>
      </c>
      <c r="C214" s="138"/>
      <c r="D214" s="132"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2"/>
      <c r="F214" s="132"/>
      <c r="G214" s="150"/>
      <c r="H214" s="136"/>
      <c r="I214" s="136"/>
      <c r="J214" s="150"/>
      <c r="K214" s="136"/>
      <c r="L214" s="184">
        <f>'WS A - Rate Base Support'!C62</f>
        <v>0</v>
      </c>
      <c r="M214" s="136"/>
      <c r="P214"/>
    </row>
    <row r="215" spans="2:16">
      <c r="B215" s="137">
        <f>+B214+1</f>
        <v>117</v>
      </c>
      <c r="C215" s="138"/>
      <c r="D215" s="132" t="s">
        <v>503</v>
      </c>
      <c r="E215" s="147" t="str">
        <f>"(ln "&amp;B212&amp;" - ln "&amp;B213&amp;" - ln "&amp;B214&amp;")"</f>
        <v>(ln 114 - ln 115 - ln 116)</v>
      </c>
      <c r="F215" s="132"/>
      <c r="H215" s="136"/>
      <c r="I215" s="136"/>
      <c r="J215" s="150"/>
      <c r="K215" s="136"/>
      <c r="L215" s="149">
        <f>L212-L213-L214</f>
        <v>160351300.63081348</v>
      </c>
      <c r="M215" s="136"/>
      <c r="P215"/>
    </row>
    <row r="216" spans="2:16" ht="9" customHeight="1">
      <c r="B216" s="137"/>
      <c r="C216" s="138"/>
      <c r="E216" s="132"/>
      <c r="F216" s="132"/>
      <c r="G216" s="150"/>
      <c r="H216" s="136"/>
      <c r="I216" s="136"/>
      <c r="J216" s="150"/>
      <c r="K216" s="136"/>
      <c r="M216" s="136"/>
      <c r="P216"/>
    </row>
    <row r="217" spans="2:16" ht="15.75" customHeight="1">
      <c r="B217" s="137">
        <f>+B215+1</f>
        <v>118</v>
      </c>
      <c r="C217" s="138"/>
      <c r="D217" s="132" t="s">
        <v>504</v>
      </c>
      <c r="E217" s="138" t="str">
        <f>"(ln "&amp;B215&amp;" / ln "&amp;B212&amp;")"</f>
        <v>(ln 117 / ln 114)</v>
      </c>
      <c r="F217" s="141"/>
      <c r="H217" s="141"/>
      <c r="I217" s="139"/>
      <c r="J217" s="139"/>
      <c r="K217" s="189" t="s">
        <v>433</v>
      </c>
      <c r="L217" s="231">
        <f>IF(L212=0,1,L215/L212)</f>
        <v>1</v>
      </c>
      <c r="M217" s="136"/>
      <c r="P217"/>
    </row>
    <row r="218" spans="2:16" ht="15.75">
      <c r="B218" s="137"/>
      <c r="C218" s="138"/>
      <c r="D218" s="229"/>
      <c r="E218" s="132"/>
      <c r="F218" s="132"/>
      <c r="G218" s="136"/>
      <c r="H218" s="132"/>
      <c r="I218" s="138"/>
      <c r="J218" s="132"/>
      <c r="K218" s="132"/>
      <c r="L218" s="132"/>
      <c r="M218" s="136"/>
    </row>
    <row r="219" spans="2:16">
      <c r="B219" s="137"/>
      <c r="C219" s="138"/>
      <c r="D219" s="132"/>
      <c r="E219" s="132"/>
      <c r="F219" s="132"/>
      <c r="G219" s="136"/>
      <c r="H219" s="132"/>
      <c r="I219" s="138"/>
      <c r="J219" s="132"/>
      <c r="K219" s="132"/>
      <c r="L219" s="132"/>
      <c r="M219" s="136"/>
    </row>
    <row r="220" spans="2:16" ht="15.75">
      <c r="B220" s="137"/>
      <c r="C220" s="138"/>
      <c r="D220" s="229"/>
      <c r="E220" s="132"/>
      <c r="F220" s="132"/>
      <c r="G220" s="136"/>
      <c r="H220" s="132"/>
      <c r="I220" s="138"/>
      <c r="J220" s="132"/>
      <c r="K220" s="132"/>
      <c r="L220" s="149"/>
      <c r="M220" s="136"/>
    </row>
    <row r="221" spans="2:16" ht="15.75">
      <c r="B221" s="137"/>
      <c r="C221" s="138"/>
      <c r="D221" s="229"/>
      <c r="E221" s="132"/>
      <c r="F221" s="132"/>
      <c r="G221" s="136"/>
      <c r="H221" s="132"/>
      <c r="I221" s="138"/>
      <c r="J221" s="132"/>
      <c r="K221" s="132"/>
      <c r="L221" s="132"/>
      <c r="M221" s="136"/>
    </row>
    <row r="222" spans="2:16" ht="15.75">
      <c r="B222" s="137"/>
      <c r="C222" s="138"/>
      <c r="D222" s="229"/>
      <c r="E222" s="132"/>
      <c r="F222" s="132"/>
      <c r="G222" s="136"/>
      <c r="H222" s="132"/>
      <c r="I222" s="138"/>
      <c r="J222" s="132"/>
      <c r="K222" s="132"/>
      <c r="L222" s="132"/>
      <c r="M222" s="136"/>
    </row>
    <row r="223" spans="2:16" ht="15.75">
      <c r="B223" s="137"/>
      <c r="C223" s="138"/>
      <c r="D223" s="229"/>
      <c r="E223" s="132"/>
      <c r="F223" s="132"/>
      <c r="G223" s="136"/>
      <c r="H223" s="132"/>
      <c r="I223" s="138"/>
      <c r="J223" s="132"/>
      <c r="K223" s="132"/>
      <c r="L223" s="132"/>
      <c r="M223" s="136"/>
    </row>
    <row r="224" spans="2:16" ht="15.75">
      <c r="B224" s="137"/>
      <c r="C224" s="138"/>
      <c r="D224" s="132"/>
      <c r="E224" s="132"/>
      <c r="F224" s="132"/>
      <c r="G224" s="136"/>
      <c r="H224" s="132"/>
      <c r="I224" s="138"/>
      <c r="J224" s="132"/>
      <c r="K224" s="132"/>
      <c r="L224" s="229"/>
      <c r="M224" s="136"/>
    </row>
    <row r="225" spans="2:13" ht="15.75">
      <c r="B225" s="137"/>
      <c r="C225" s="138"/>
      <c r="D225" s="229"/>
      <c r="E225" s="132"/>
      <c r="F225" s="132"/>
      <c r="G225" s="136"/>
      <c r="H225" s="132"/>
      <c r="I225" s="138"/>
      <c r="J225" s="132"/>
      <c r="K225" s="132"/>
      <c r="L225" s="132"/>
      <c r="M225" s="136"/>
    </row>
    <row r="226" spans="2:13" ht="45">
      <c r="B226" s="137">
        <f>B217+1</f>
        <v>119</v>
      </c>
      <c r="C226" s="138"/>
      <c r="D226" s="132" t="s">
        <v>365</v>
      </c>
      <c r="E226" s="150" t="s">
        <v>137</v>
      </c>
      <c r="F226" s="150" t="s">
        <v>474</v>
      </c>
      <c r="G226" s="232" t="s">
        <v>496</v>
      </c>
      <c r="H226" s="197" t="s">
        <v>410</v>
      </c>
      <c r="I226" s="150"/>
      <c r="J226" s="136"/>
      <c r="K226" s="136"/>
      <c r="L226" s="136"/>
      <c r="M226" s="136"/>
    </row>
    <row r="227" spans="2:13">
      <c r="B227" s="137">
        <f t="shared" ref="B227:B233" si="8">+B226+1</f>
        <v>120</v>
      </c>
      <c r="C227" s="138"/>
      <c r="D227" s="178" t="s">
        <v>312</v>
      </c>
      <c r="E227" s="136"/>
      <c r="F227" s="136"/>
      <c r="G227" s="149"/>
      <c r="H227" s="149"/>
      <c r="I227" s="150"/>
      <c r="J227" s="151"/>
      <c r="K227" s="136"/>
      <c r="L227" s="149"/>
      <c r="M227" s="136"/>
    </row>
    <row r="228" spans="2:13">
      <c r="B228" s="137">
        <f t="shared" si="8"/>
        <v>121</v>
      </c>
      <c r="C228" s="138"/>
      <c r="D228" s="132" t="s">
        <v>419</v>
      </c>
      <c r="E228" s="136" t="s">
        <v>341</v>
      </c>
      <c r="F228" s="114">
        <v>0</v>
      </c>
      <c r="G228" s="114">
        <v>360202.94146953232</v>
      </c>
      <c r="H228" s="233">
        <f>+F228+G228</f>
        <v>360202.94146953232</v>
      </c>
      <c r="I228" s="138" t="s">
        <v>412</v>
      </c>
      <c r="J228" s="151">
        <f>L217</f>
        <v>1</v>
      </c>
      <c r="K228" s="234"/>
      <c r="L228" s="149">
        <f>(F228+G228)*J228</f>
        <v>360202.94146953232</v>
      </c>
      <c r="M228" s="136"/>
    </row>
    <row r="229" spans="2:13">
      <c r="B229" s="137">
        <f t="shared" si="8"/>
        <v>122</v>
      </c>
      <c r="C229" s="138"/>
      <c r="D229" s="132" t="s">
        <v>542</v>
      </c>
      <c r="E229" s="136" t="s">
        <v>254</v>
      </c>
      <c r="F229" s="114">
        <v>0</v>
      </c>
      <c r="G229" s="114">
        <v>0</v>
      </c>
      <c r="H229" s="149">
        <f>+F229+G229</f>
        <v>0</v>
      </c>
      <c r="I229" s="150" t="s">
        <v>418</v>
      </c>
      <c r="J229" s="151">
        <v>0</v>
      </c>
      <c r="K229" s="234"/>
      <c r="L229" s="149">
        <f>(F229+G229)*J229</f>
        <v>0</v>
      </c>
      <c r="M229" s="136"/>
    </row>
    <row r="230" spans="2:13">
      <c r="B230" s="137"/>
      <c r="C230" s="138"/>
      <c r="D230" s="132"/>
      <c r="E230" s="136"/>
      <c r="F230" s="1099"/>
      <c r="G230" s="1099"/>
      <c r="H230" s="233"/>
      <c r="I230" s="150"/>
      <c r="J230" s="151"/>
      <c r="K230" s="234"/>
      <c r="L230" s="149"/>
      <c r="M230" s="136"/>
    </row>
    <row r="231" spans="2:13">
      <c r="B231" s="137">
        <f>+B229+1</f>
        <v>123</v>
      </c>
      <c r="C231" s="138"/>
      <c r="D231" s="178" t="s">
        <v>312</v>
      </c>
      <c r="E231" s="136"/>
      <c r="F231" s="136"/>
      <c r="G231" s="136"/>
      <c r="H231" s="149"/>
      <c r="I231" s="150"/>
      <c r="J231" s="151"/>
      <c r="K231" s="136"/>
      <c r="L231" s="149"/>
      <c r="M231" s="136"/>
    </row>
    <row r="232" spans="2:13" ht="15.75" thickBot="1">
      <c r="B232" s="137">
        <f t="shared" si="8"/>
        <v>124</v>
      </c>
      <c r="C232" s="138"/>
      <c r="D232" s="132" t="s">
        <v>483</v>
      </c>
      <c r="E232" s="136" t="s">
        <v>206</v>
      </c>
      <c r="F232" s="1025">
        <v>0</v>
      </c>
      <c r="G232" s="1025">
        <v>0</v>
      </c>
      <c r="H232" s="184">
        <f>+F232+G232</f>
        <v>0</v>
      </c>
      <c r="I232" s="150" t="s">
        <v>418</v>
      </c>
      <c r="J232" s="151">
        <v>0</v>
      </c>
      <c r="K232" s="234"/>
      <c r="L232" s="184">
        <f>(F232+G232)*J232</f>
        <v>0</v>
      </c>
      <c r="M232" s="136"/>
    </row>
    <row r="233" spans="2:13" ht="15.75">
      <c r="B233" s="137">
        <f t="shared" si="8"/>
        <v>125</v>
      </c>
      <c r="C233" s="138"/>
      <c r="D233" s="132" t="s">
        <v>410</v>
      </c>
      <c r="E233" s="136" t="str">
        <f>"(sum lns "&amp;B228&amp;", "&amp;B229&amp;", &amp; "&amp;B232&amp;")"</f>
        <v>(sum lns 121, 122, &amp; 124)</v>
      </c>
      <c r="F233" s="149">
        <f>SUM(F227:F232)</f>
        <v>0</v>
      </c>
      <c r="G233" s="136">
        <f>SUM(G227:G232)</f>
        <v>360202.94146953232</v>
      </c>
      <c r="H233" s="136">
        <f>SUM(H227:H232)</f>
        <v>360202.94146953232</v>
      </c>
      <c r="I233" s="150"/>
      <c r="J233" s="136"/>
      <c r="K233" s="136"/>
      <c r="L233" s="149">
        <f>SUM(L227:L232)</f>
        <v>360202.94146953232</v>
      </c>
      <c r="M233" s="171"/>
    </row>
    <row r="234" spans="2:13">
      <c r="B234" s="137"/>
      <c r="C234" s="138"/>
      <c r="D234" s="132" t="s">
        <v>406</v>
      </c>
      <c r="E234" s="136" t="s">
        <v>406</v>
      </c>
      <c r="F234" s="136"/>
      <c r="H234" s="136"/>
      <c r="I234" s="197"/>
    </row>
    <row r="235" spans="2:13" ht="15.75">
      <c r="B235" s="137">
        <f>B233+1</f>
        <v>126</v>
      </c>
      <c r="C235" s="138"/>
      <c r="D235" s="132" t="s">
        <v>366</v>
      </c>
      <c r="E235" s="136"/>
      <c r="F235" s="136"/>
      <c r="G235" s="136"/>
      <c r="H235" s="136"/>
      <c r="I235" s="197"/>
      <c r="K235" s="235" t="s">
        <v>367</v>
      </c>
      <c r="L235" s="236">
        <f>L233/(F233+G233)</f>
        <v>1</v>
      </c>
    </row>
    <row r="236" spans="2:13" ht="15.75">
      <c r="B236" s="137"/>
      <c r="C236" s="138"/>
      <c r="D236" s="132"/>
      <c r="E236" s="136"/>
      <c r="F236" s="136"/>
      <c r="G236" s="136"/>
      <c r="H236" s="136"/>
      <c r="I236" s="197"/>
      <c r="K236" s="235"/>
      <c r="L236" s="236"/>
    </row>
    <row r="237" spans="2:13" ht="15.75">
      <c r="B237" s="137"/>
      <c r="C237" s="138"/>
      <c r="D237" s="237" t="s">
        <v>149</v>
      </c>
      <c r="E237" s="136"/>
      <c r="F237" s="136"/>
      <c r="G237" s="136"/>
      <c r="H237" s="136"/>
      <c r="I237" s="150"/>
      <c r="J237" s="136"/>
      <c r="K237" s="136"/>
      <c r="L237" s="136"/>
      <c r="M237" s="136"/>
    </row>
    <row r="238" spans="2:13" ht="15.75" thickBot="1">
      <c r="B238" s="137">
        <f>B235+1</f>
        <v>127</v>
      </c>
      <c r="C238" s="138"/>
      <c r="D238" s="132" t="s">
        <v>480</v>
      </c>
      <c r="E238" s="136"/>
      <c r="F238" s="136"/>
      <c r="G238" s="136"/>
      <c r="H238" s="136"/>
      <c r="I238" s="136"/>
      <c r="J238" s="136"/>
      <c r="K238" s="136"/>
      <c r="L238" s="238" t="s">
        <v>434</v>
      </c>
      <c r="M238" s="136"/>
    </row>
    <row r="239" spans="2:13" ht="15.75">
      <c r="B239" s="137">
        <f>B238+1</f>
        <v>128</v>
      </c>
      <c r="C239" s="138"/>
      <c r="D239" s="136" t="s">
        <v>500</v>
      </c>
      <c r="E239" s="127" t="str">
        <f>"(Worksheet M, ln."&amp;'WS M - Cost of Capital'!A55&amp;", col."&amp;'WS M - Cost of Capital'!E47&amp;")"</f>
        <v>(Worksheet M, ln.36, col.(d))</v>
      </c>
      <c r="F239" s="136"/>
      <c r="G239" s="136"/>
      <c r="H239" s="136"/>
      <c r="I239" s="136"/>
      <c r="J239" s="176" t="s">
        <v>406</v>
      </c>
      <c r="K239" s="136"/>
      <c r="L239" s="239">
        <f>'WS M - Cost of Capital'!E55</f>
        <v>4180564.1414737636</v>
      </c>
      <c r="M239" s="136"/>
    </row>
    <row r="240" spans="2:13">
      <c r="B240" s="137">
        <f t="shared" ref="B240:B246" si="9">B239+1</f>
        <v>129</v>
      </c>
      <c r="C240" s="138"/>
      <c r="D240" s="136" t="s">
        <v>501</v>
      </c>
      <c r="E240" s="127" t="str">
        <f>"(Worksheet M, ln. "&amp;'WS M - Cost of Capital'!A75&amp;", col."&amp;'WS M - Cost of Capital'!E47&amp;")"</f>
        <v>(Worksheet M, ln. 45, col.(d))</v>
      </c>
      <c r="F240" s="136"/>
      <c r="G240" s="136"/>
      <c r="H240" s="136"/>
      <c r="I240" s="136"/>
      <c r="J240" s="136"/>
      <c r="K240" s="136"/>
      <c r="L240" s="149">
        <f>'WS M - Cost of Capital'!E75</f>
        <v>0</v>
      </c>
      <c r="M240" s="136"/>
    </row>
    <row r="241" spans="2:13">
      <c r="B241" s="137">
        <f t="shared" si="9"/>
        <v>130</v>
      </c>
      <c r="C241" s="138"/>
      <c r="D241" s="240" t="s">
        <v>27</v>
      </c>
      <c r="E241" s="136"/>
      <c r="F241" s="136"/>
      <c r="G241" s="136"/>
      <c r="H241" s="3"/>
      <c r="I241" s="136"/>
      <c r="J241" s="136"/>
      <c r="K241" s="136"/>
      <c r="L241" s="149"/>
      <c r="M241" s="136"/>
    </row>
    <row r="242" spans="2:13">
      <c r="B242" s="137">
        <f t="shared" si="9"/>
        <v>131</v>
      </c>
      <c r="C242" s="138"/>
      <c r="D242" s="136" t="s">
        <v>28</v>
      </c>
      <c r="E242" s="127" t="str">
        <f>"(Worksheet M, ln. "&amp;'WS M - Cost of Capital'!A23&amp;", col."&amp;'WS M - Cost of Capital'!C8&amp;")"</f>
        <v>(Worksheet M, ln. 14, col.(b))</v>
      </c>
      <c r="F242" s="136"/>
      <c r="G242" s="132"/>
      <c r="H242" s="3"/>
      <c r="I242" s="136"/>
      <c r="J242" s="136"/>
      <c r="K242" s="136"/>
      <c r="L242" s="149">
        <f>'WS M - Cost of Capital'!C23</f>
        <v>115463785.98322834</v>
      </c>
      <c r="M242" s="136"/>
    </row>
    <row r="243" spans="2:13">
      <c r="B243" s="137">
        <f t="shared" si="9"/>
        <v>132</v>
      </c>
      <c r="C243" s="138"/>
      <c r="D243" s="136" t="s">
        <v>163</v>
      </c>
      <c r="E243" s="127" t="str">
        <f>"(Worksheet M, ln. "&amp;'WS M - Cost of Capital'!A23&amp;", col."&amp;'WS M - Cost of Capital'!D8&amp;")"</f>
        <v>(Worksheet M, ln. 14, col.(c))</v>
      </c>
      <c r="F243" s="136"/>
      <c r="G243" s="136"/>
      <c r="H243" s="3"/>
      <c r="I243" s="136"/>
      <c r="J243" s="136"/>
      <c r="K243" s="136"/>
      <c r="L243" s="149">
        <f>'WS M - Cost of Capital'!D23</f>
        <v>0</v>
      </c>
      <c r="M243" s="136"/>
    </row>
    <row r="244" spans="2:13">
      <c r="B244" s="137">
        <f t="shared" si="9"/>
        <v>133</v>
      </c>
      <c r="C244" s="138"/>
      <c r="D244" s="136" t="s">
        <v>156</v>
      </c>
      <c r="E244" s="127" t="str">
        <f>"(Worksheet M, ln. "&amp;'WS M - Cost of Capital'!A23&amp;", col."&amp;'WS M - Cost of Capital'!E8&amp;")"</f>
        <v>(Worksheet M, ln. 14, col.(d))</v>
      </c>
      <c r="F244" s="136"/>
      <c r="G244" s="136"/>
      <c r="H244" s="3"/>
      <c r="I244" s="136"/>
      <c r="J244" s="136"/>
      <c r="K244" s="136"/>
      <c r="L244" s="149">
        <f>'WS M - Cost of Capital'!E23</f>
        <v>0</v>
      </c>
      <c r="M244" s="136"/>
    </row>
    <row r="245" spans="2:13">
      <c r="B245" s="137">
        <f t="shared" si="9"/>
        <v>134</v>
      </c>
      <c r="C245" s="138"/>
      <c r="D245" s="136" t="s">
        <v>162</v>
      </c>
      <c r="E245" s="127" t="str">
        <f>"(Worksheet M, ln. "&amp;'WS M - Cost of Capital'!A23&amp;", col."&amp;'WS M - Cost of Capital'!F8&amp;")"</f>
        <v>(Worksheet M, ln. 14, col.(e))</v>
      </c>
      <c r="F245" s="136"/>
      <c r="G245" s="136"/>
      <c r="H245" s="3"/>
      <c r="I245" s="136"/>
      <c r="J245" s="136"/>
      <c r="K245" s="136"/>
      <c r="L245" s="909">
        <f>'WS M - Cost of Capital'!F23</f>
        <v>0</v>
      </c>
      <c r="M245" s="136"/>
    </row>
    <row r="246" spans="2:13">
      <c r="B246" s="137">
        <f t="shared" si="9"/>
        <v>135</v>
      </c>
      <c r="C246" s="138"/>
      <c r="D246" s="127" t="s">
        <v>29</v>
      </c>
      <c r="E246" s="241" t="str">
        <f>"(ln "&amp;B242&amp;" - ln "&amp;B243&amp;" - ln "&amp;B244&amp;" - ln "&amp;B245&amp;")"</f>
        <v>(ln 131 - ln 132 - ln 133 - ln 134)</v>
      </c>
      <c r="F246" s="145"/>
      <c r="H246" s="132"/>
      <c r="I246" s="132"/>
      <c r="J246" s="132"/>
      <c r="K246" s="132"/>
      <c r="L246" s="149">
        <f>L242-L243-L244-L245</f>
        <v>115463785.98322834</v>
      </c>
      <c r="M246" s="136"/>
    </row>
    <row r="247" spans="2:13" ht="15.75">
      <c r="B247" s="137"/>
      <c r="C247" s="138"/>
      <c r="D247" s="132"/>
      <c r="E247" s="136"/>
      <c r="F247" s="136"/>
      <c r="G247" s="1130" t="s">
        <v>264</v>
      </c>
      <c r="H247" s="1130"/>
      <c r="I247" s="136"/>
      <c r="J247" s="197" t="s">
        <v>435</v>
      </c>
      <c r="K247" s="136"/>
      <c r="L247" s="136"/>
      <c r="M247" s="136"/>
    </row>
    <row r="248" spans="2:13" ht="15.75" thickBot="1">
      <c r="B248" s="137"/>
      <c r="C248" s="138"/>
      <c r="D248" s="132"/>
      <c r="F248" s="136"/>
      <c r="G248" s="144" t="s">
        <v>434</v>
      </c>
      <c r="H248" s="144" t="s">
        <v>803</v>
      </c>
      <c r="I248" s="238" t="s">
        <v>802</v>
      </c>
      <c r="J248" s="242" t="s">
        <v>544</v>
      </c>
      <c r="K248" s="136"/>
      <c r="L248" s="144" t="s">
        <v>437</v>
      </c>
      <c r="M248" s="136"/>
    </row>
    <row r="249" spans="2:13" ht="15.75">
      <c r="B249" s="137">
        <f>B246+1</f>
        <v>136</v>
      </c>
      <c r="C249" s="138"/>
      <c r="D249" s="132" t="str">
        <f>"  Long Term Debt  (Note S) Worksheet M, ln "&amp;'WS M - Cost of Capital'!A42&amp;", col. (g), ln "&amp;'WS M - Cost of Capital'!A57&amp;", col. "&amp;'WS M - Cost of Capital'!E47&amp;")"</f>
        <v xml:space="preserve">  Long Term Debt  (Note S) Worksheet M, ln 28, col. (g), ln 37, col. (d))</v>
      </c>
      <c r="F249" s="176" t="s">
        <v>406</v>
      </c>
      <c r="G249" s="149">
        <f>'WS M - Cost of Capital'!H42</f>
        <v>91985000</v>
      </c>
      <c r="H249" s="158">
        <f>IF($G$252=0,0,G249/$G$252)</f>
        <v>0.44341064501306238</v>
      </c>
      <c r="I249" s="967">
        <f>IF(H251&gt;E254,1-I251,H249)</f>
        <v>0.44999999999999996</v>
      </c>
      <c r="J249" s="158">
        <f>IF(G249=0,0,L239/G249)</f>
        <v>4.5448324634166044E-2</v>
      </c>
      <c r="L249" s="243">
        <f>I249*J249</f>
        <v>2.0451746085374718E-2</v>
      </c>
      <c r="M249" s="136"/>
    </row>
    <row r="250" spans="2:13" ht="15.75" thickBot="1">
      <c r="B250" s="137">
        <f>B249+1</f>
        <v>137</v>
      </c>
      <c r="C250" s="138"/>
      <c r="D250" s="132" t="str">
        <f>"  Preferred Stock (ln "&amp;B243&amp;")"</f>
        <v xml:space="preserve">  Preferred Stock (ln 132)</v>
      </c>
      <c r="G250" s="149">
        <f>L243</f>
        <v>0</v>
      </c>
      <c r="H250" s="158">
        <f>IF($G$252=0,0,G250/$G$252)</f>
        <v>0</v>
      </c>
      <c r="I250" s="967">
        <f>H250</f>
        <v>0</v>
      </c>
      <c r="J250" s="158">
        <f>IF(G250=0,0,L240/G250)</f>
        <v>0</v>
      </c>
      <c r="L250" s="244">
        <f>I250*J250</f>
        <v>0</v>
      </c>
      <c r="M250" s="136"/>
    </row>
    <row r="251" spans="2:13" ht="15.75" thickBot="1">
      <c r="B251" s="137">
        <f>B250+1</f>
        <v>138</v>
      </c>
      <c r="C251" s="138"/>
      <c r="D251" s="132" t="str">
        <f>"  Common Stock (ln "&amp;B246&amp;")"</f>
        <v xml:space="preserve">  Common Stock (ln 135)</v>
      </c>
      <c r="G251" s="184">
        <f>L246</f>
        <v>115463785.98322834</v>
      </c>
      <c r="H251" s="966">
        <f>IF($G$252=0,0,G251/$G$252)</f>
        <v>0.55658935498693773</v>
      </c>
      <c r="I251" s="967">
        <f>IF(H251&gt;E254,E254,H251)</f>
        <v>0.55000000000000004</v>
      </c>
      <c r="J251" s="294">
        <v>0.10349999999999999</v>
      </c>
      <c r="L251" s="245">
        <f>I251*J251</f>
        <v>5.6925000000000003E-2</v>
      </c>
      <c r="M251" s="136"/>
    </row>
    <row r="252" spans="2:13" ht="15.75">
      <c r="B252" s="137">
        <f>B251+1</f>
        <v>139</v>
      </c>
      <c r="C252" s="138"/>
      <c r="D252" s="132" t="str">
        <f>" Total (Sum lns "&amp;B249&amp;" to "&amp;B251&amp;")"</f>
        <v xml:space="preserve"> Total (Sum lns 136 to 138)</v>
      </c>
      <c r="G252" s="149">
        <f>SUM(G249:G251)</f>
        <v>207448785.98322833</v>
      </c>
      <c r="H252" s="159">
        <f>SUM(H249:H251)</f>
        <v>1</v>
      </c>
      <c r="I252" s="136"/>
      <c r="J252" s="246"/>
      <c r="K252" s="189" t="s">
        <v>354</v>
      </c>
      <c r="L252" s="247">
        <f>SUM(L249:L251)</f>
        <v>7.7376746085374717E-2</v>
      </c>
      <c r="M252" s="136"/>
    </row>
    <row r="253" spans="2:13" ht="15.75">
      <c r="B253" s="137"/>
      <c r="C253" s="138"/>
      <c r="D253" s="132"/>
      <c r="G253" s="149"/>
      <c r="H253" s="159"/>
      <c r="I253" s="136"/>
      <c r="J253" s="246"/>
      <c r="K253" s="189"/>
      <c r="L253" s="247"/>
      <c r="M253" s="136"/>
    </row>
    <row r="254" spans="2:13" ht="15.75">
      <c r="B254" s="137">
        <f>B252+1</f>
        <v>140</v>
      </c>
      <c r="C254" s="138"/>
      <c r="D254" s="132" t="s">
        <v>801</v>
      </c>
      <c r="E254" s="967">
        <v>0.55000000000000004</v>
      </c>
      <c r="G254" s="149"/>
      <c r="H254" s="159"/>
      <c r="I254" s="136"/>
      <c r="J254" s="246"/>
      <c r="K254" s="189"/>
      <c r="L254" s="247"/>
      <c r="M254" s="136"/>
    </row>
    <row r="255" spans="2:13">
      <c r="B255" s="137"/>
      <c r="C255" s="138"/>
      <c r="D255" s="132"/>
      <c r="F255" s="136"/>
      <c r="G255" s="136"/>
      <c r="H255" s="136"/>
      <c r="I255" s="150"/>
      <c r="J255" s="136"/>
      <c r="K255" s="136"/>
      <c r="L255" s="136"/>
      <c r="M255" s="136"/>
    </row>
    <row r="256" spans="2:13" ht="15.75" hidden="1">
      <c r="B256" s="248"/>
      <c r="C256" s="249"/>
      <c r="D256" s="250" t="s">
        <v>215</v>
      </c>
      <c r="E256" s="251"/>
      <c r="F256" s="252"/>
      <c r="G256" s="253"/>
      <c r="H256" s="252"/>
      <c r="I256" s="252"/>
      <c r="J256" s="252"/>
      <c r="K256" s="254"/>
      <c r="L256" s="255"/>
      <c r="M256" s="136"/>
    </row>
    <row r="257" spans="2:21" ht="15.75" hidden="1" thickBot="1">
      <c r="B257" s="248">
        <f>B254+1</f>
        <v>141</v>
      </c>
      <c r="C257" s="249"/>
      <c r="D257" s="256" t="s">
        <v>480</v>
      </c>
      <c r="E257" s="252"/>
      <c r="F257" s="252"/>
      <c r="G257" s="252"/>
      <c r="H257" s="252"/>
      <c r="I257" s="252"/>
      <c r="J257" s="252"/>
      <c r="K257" s="252"/>
      <c r="L257" s="257" t="s">
        <v>434</v>
      </c>
      <c r="M257" s="136"/>
    </row>
    <row r="258" spans="2:21" hidden="1">
      <c r="B258" s="248">
        <f t="shared" ref="B258:B265" si="10">+B257+1</f>
        <v>142</v>
      </c>
      <c r="C258" s="249"/>
      <c r="D258" s="252" t="s">
        <v>500</v>
      </c>
      <c r="E258" s="253" t="str">
        <f>"(Worksheet Q, ln. "&amp;'WS Q Cap Structure'!A199&amp;")"</f>
        <v>(Worksheet Q, ln. 132)</v>
      </c>
      <c r="F258" s="252"/>
      <c r="G258" s="252"/>
      <c r="H258" s="252"/>
      <c r="I258" s="252"/>
      <c r="J258" s="252"/>
      <c r="K258" s="252"/>
      <c r="L258" s="258">
        <f>'WS Q Cap Structure'!J199</f>
        <v>0</v>
      </c>
      <c r="M258" s="136"/>
    </row>
    <row r="259" spans="2:21" hidden="1">
      <c r="B259" s="248">
        <f t="shared" si="10"/>
        <v>143</v>
      </c>
      <c r="C259" s="249"/>
      <c r="D259" s="252" t="s">
        <v>501</v>
      </c>
      <c r="E259" s="253" t="str">
        <f>"(Worksheet Q, ln. "&amp;'WS Q Cap Structure'!A203&amp;")"</f>
        <v>(Worksheet Q, ln. 134)</v>
      </c>
      <c r="F259" s="252"/>
      <c r="G259" s="252"/>
      <c r="H259" s="252"/>
      <c r="I259" s="252"/>
      <c r="J259" s="252"/>
      <c r="K259" s="252"/>
      <c r="L259" s="258">
        <f>'WS Q Cap Structure'!J203</f>
        <v>0</v>
      </c>
      <c r="M259" s="136"/>
    </row>
    <row r="260" spans="2:21" hidden="1">
      <c r="B260" s="248">
        <f t="shared" si="10"/>
        <v>144</v>
      </c>
      <c r="C260" s="249"/>
      <c r="D260" s="259" t="s">
        <v>27</v>
      </c>
      <c r="E260" s="252"/>
      <c r="F260" s="252"/>
      <c r="G260" s="252"/>
      <c r="H260" s="260"/>
      <c r="I260" s="252"/>
      <c r="J260" s="252"/>
      <c r="K260" s="252"/>
      <c r="L260" s="258"/>
      <c r="M260" s="136"/>
    </row>
    <row r="261" spans="2:21" hidden="1">
      <c r="B261" s="248">
        <f t="shared" si="10"/>
        <v>145</v>
      </c>
      <c r="C261" s="249"/>
      <c r="D261" s="252" t="s">
        <v>28</v>
      </c>
      <c r="E261" s="253" t="str">
        <f>"(Worksheet Q, ln. "&amp;'WS Q Cap Structure'!A206&amp;")"</f>
        <v>(Worksheet Q, ln. 135)</v>
      </c>
      <c r="F261" s="252"/>
      <c r="G261" s="256"/>
      <c r="H261" s="261"/>
      <c r="I261" s="252"/>
      <c r="J261" s="252"/>
      <c r="K261" s="252"/>
      <c r="L261" s="262" t="e">
        <f>'WS Q Cap Structure'!J206</f>
        <v>#DIV/0!</v>
      </c>
      <c r="M261" s="136"/>
    </row>
    <row r="262" spans="2:21" hidden="1">
      <c r="B262" s="248">
        <f t="shared" si="10"/>
        <v>146</v>
      </c>
      <c r="C262" s="249"/>
      <c r="D262" s="252" t="s">
        <v>163</v>
      </c>
      <c r="E262" s="253" t="str">
        <f>"(Worksheet Q, ln. "&amp;'WS Q Cap Structure'!A207&amp;")"</f>
        <v>(Worksheet Q, ln. 136)</v>
      </c>
      <c r="F262" s="252"/>
      <c r="G262" s="252"/>
      <c r="H262" s="261"/>
      <c r="I262" s="252"/>
      <c r="J262" s="252"/>
      <c r="K262" s="252"/>
      <c r="L262" s="262">
        <f>'WS Q Cap Structure'!J207</f>
        <v>0</v>
      </c>
      <c r="M262" s="136"/>
    </row>
    <row r="263" spans="2:21" hidden="1">
      <c r="B263" s="248">
        <f>+B262+1</f>
        <v>147</v>
      </c>
      <c r="C263" s="249"/>
      <c r="D263" s="252" t="s">
        <v>156</v>
      </c>
      <c r="E263" s="253" t="str">
        <f>"(Worksheet Q, ln. "&amp;'WS Q Cap Structure'!A208&amp;")"</f>
        <v>(Worksheet Q, ln. 137)</v>
      </c>
      <c r="F263" s="252"/>
      <c r="G263" s="252"/>
      <c r="H263" s="261"/>
      <c r="I263" s="252"/>
      <c r="J263" s="252"/>
      <c r="K263" s="252"/>
      <c r="L263" s="262" t="e">
        <f>'WS Q Cap Structure'!J208</f>
        <v>#DIV/0!</v>
      </c>
      <c r="M263" s="136"/>
    </row>
    <row r="264" spans="2:21" ht="15.75" hidden="1" thickBot="1">
      <c r="B264" s="248">
        <f t="shared" si="10"/>
        <v>148</v>
      </c>
      <c r="C264" s="249"/>
      <c r="D264" s="252" t="s">
        <v>162</v>
      </c>
      <c r="E264" s="253" t="str">
        <f>"(Worksheet Q, ln. "&amp;'WS Q Cap Structure'!A209&amp;")"</f>
        <v>(Worksheet Q, ln. 138)</v>
      </c>
      <c r="F264" s="252"/>
      <c r="G264" s="252"/>
      <c r="H264" s="261"/>
      <c r="I264" s="252"/>
      <c r="J264" s="263"/>
      <c r="K264" s="252"/>
      <c r="L264" s="264" t="e">
        <f>'WS Q Cap Structure'!J209</f>
        <v>#DIV/0!</v>
      </c>
      <c r="M264" s="136"/>
    </row>
    <row r="265" spans="2:21" hidden="1">
      <c r="B265" s="248">
        <f t="shared" si="10"/>
        <v>149</v>
      </c>
      <c r="C265" s="249"/>
      <c r="D265" s="253" t="s">
        <v>29</v>
      </c>
      <c r="E265" s="252" t="str">
        <f>"(ln "&amp;B261&amp;" - ln "&amp;B262&amp;" - ln "&amp;B263&amp;" - ln "&amp;B264&amp;")"</f>
        <v>(ln 145 - ln 146 - ln 147 - ln 148)</v>
      </c>
      <c r="F265" s="251"/>
      <c r="G265" s="253"/>
      <c r="H265" s="256"/>
      <c r="I265" s="256"/>
      <c r="J265" s="256"/>
      <c r="K265" s="256"/>
      <c r="L265" s="258" t="e">
        <f>+L261-L262-L263-L264</f>
        <v>#DIV/0!</v>
      </c>
      <c r="M265" s="136"/>
    </row>
    <row r="266" spans="2:21" ht="15.75" hidden="1">
      <c r="B266" s="248"/>
      <c r="C266" s="249"/>
      <c r="D266" s="256"/>
      <c r="E266" s="252"/>
      <c r="F266" s="252"/>
      <c r="G266" s="1129"/>
      <c r="H266" s="1129"/>
      <c r="I266" s="265"/>
      <c r="J266" s="253"/>
      <c r="K266" s="252"/>
      <c r="L266" s="252"/>
      <c r="M266" s="136"/>
    </row>
    <row r="267" spans="2:21" ht="15.75" hidden="1" thickBot="1">
      <c r="B267" s="248">
        <f>+B265+1</f>
        <v>150</v>
      </c>
      <c r="C267" s="249"/>
      <c r="D267" s="256"/>
      <c r="E267" s="253"/>
      <c r="F267" s="253"/>
      <c r="G267" s="266" t="s">
        <v>436</v>
      </c>
      <c r="H267" s="266" t="s">
        <v>434</v>
      </c>
      <c r="I267" s="265"/>
      <c r="J267" s="267" t="s">
        <v>435</v>
      </c>
      <c r="K267" s="252"/>
      <c r="L267" s="266" t="s">
        <v>437</v>
      </c>
      <c r="M267" s="136"/>
      <c r="N267" s="132"/>
      <c r="O267" s="132"/>
      <c r="P267" s="132"/>
      <c r="Q267" s="132"/>
      <c r="R267" s="132"/>
      <c r="S267" s="132"/>
      <c r="T267" s="132"/>
      <c r="U267" s="132"/>
    </row>
    <row r="268" spans="2:21" hidden="1">
      <c r="B268" s="248">
        <f>+B267+1</f>
        <v>151</v>
      </c>
      <c r="C268" s="249"/>
      <c r="D268" s="256" t="str">
        <f>"  Long Term Debt   (Worksheet Q, ln "&amp;'WS Q Cap Structure'!A213&amp;")"</f>
        <v xml:space="preserve">  Long Term Debt   (Worksheet Q, ln 140)</v>
      </c>
      <c r="E268" s="253"/>
      <c r="F268" s="253"/>
      <c r="G268" s="268" t="e">
        <f>'WS Q Cap Structure'!J218</f>
        <v>#DIV/0!</v>
      </c>
      <c r="H268" s="258" t="e">
        <f>$H$271*G268</f>
        <v>#DIV/0!</v>
      </c>
      <c r="I268" s="269"/>
      <c r="J268" s="263" t="e">
        <f>+L258/H268</f>
        <v>#DIV/0!</v>
      </c>
      <c r="K268" s="253"/>
      <c r="L268" s="270" t="e">
        <f>+G268*J268</f>
        <v>#DIV/0!</v>
      </c>
      <c r="M268" s="271"/>
      <c r="N268" s="132"/>
      <c r="O268" s="132"/>
      <c r="P268" s="132"/>
      <c r="Q268" s="132"/>
      <c r="R268" s="132"/>
      <c r="S268" s="132"/>
      <c r="T268" s="132"/>
      <c r="U268" s="132"/>
    </row>
    <row r="269" spans="2:21" hidden="1">
      <c r="B269" s="248">
        <f>+B268+1</f>
        <v>152</v>
      </c>
      <c r="C269" s="249"/>
      <c r="D269" s="256" t="str">
        <f>"  Preferred Stock (Worksheet Q, ln "&amp;'WS Q Cap Structure'!A214&amp;")"</f>
        <v xml:space="preserve">  Preferred Stock (Worksheet Q, ln 141)</v>
      </c>
      <c r="E269" s="253"/>
      <c r="F269" s="253"/>
      <c r="G269" s="268" t="e">
        <f>'WS Q Cap Structure'!J219</f>
        <v>#DIV/0!</v>
      </c>
      <c r="H269" s="258" t="e">
        <f>$H$271*G269</f>
        <v>#DIV/0!</v>
      </c>
      <c r="I269" s="269"/>
      <c r="J269" s="263">
        <f>IF(L259=0,0,+L259/H269)</f>
        <v>0</v>
      </c>
      <c r="K269" s="253"/>
      <c r="L269" s="272" t="e">
        <f>+G269*J269</f>
        <v>#DIV/0!</v>
      </c>
      <c r="M269" s="136"/>
    </row>
    <row r="270" spans="2:21" ht="15.75" hidden="1" thickBot="1">
      <c r="B270" s="248">
        <f>+B269+1</f>
        <v>153</v>
      </c>
      <c r="C270" s="249"/>
      <c r="D270" s="256" t="str">
        <f>"  Common Stock (Worksheet Q, ln "&amp;'WS Q Cap Structure'!A215&amp;")"</f>
        <v xml:space="preserve">  Common Stock (Worksheet Q, ln 142)</v>
      </c>
      <c r="E270" s="253"/>
      <c r="F270" s="253"/>
      <c r="G270" s="268" t="e">
        <f>'WS Q Cap Structure'!J220</f>
        <v>#DIV/0!</v>
      </c>
      <c r="H270" s="273" t="e">
        <f>$H$271*G270</f>
        <v>#DIV/0!</v>
      </c>
      <c r="I270" s="269"/>
      <c r="J270" s="123">
        <f>J251</f>
        <v>0.10349999999999999</v>
      </c>
      <c r="K270" s="253"/>
      <c r="L270" s="274" t="e">
        <f>+G270*J270</f>
        <v>#DIV/0!</v>
      </c>
      <c r="M270" s="136"/>
    </row>
    <row r="271" spans="2:21" ht="15.75" hidden="1">
      <c r="B271" s="248">
        <f>+B270+1</f>
        <v>154</v>
      </c>
      <c r="C271" s="249"/>
      <c r="D271" s="256" t="str">
        <f>" Total (Worksheet Q, ln "&amp;'WS Q Cap Structure'!A216&amp;")"</f>
        <v xml:space="preserve"> Total (Worksheet Q, ln 143)</v>
      </c>
      <c r="E271" s="253"/>
      <c r="F271" s="253"/>
      <c r="G271" s="253"/>
      <c r="H271" s="258" t="e">
        <f>'WS Q Cap Structure'!J216</f>
        <v>#DIV/0!</v>
      </c>
      <c r="I271" s="265"/>
      <c r="J271" s="275"/>
      <c r="K271" s="276" t="s">
        <v>354</v>
      </c>
      <c r="L271" s="277" t="e">
        <f>SUM(L268:L270)</f>
        <v>#DIV/0!</v>
      </c>
      <c r="M271" s="278"/>
    </row>
    <row r="272" spans="2:21">
      <c r="B272" s="137"/>
      <c r="C272" s="41"/>
      <c r="D272" s="3"/>
      <c r="E272" s="41"/>
      <c r="F272"/>
      <c r="G272"/>
      <c r="H272"/>
      <c r="I272"/>
      <c r="J272" s="133"/>
      <c r="K272" s="133"/>
      <c r="L272" s="133"/>
      <c r="M272" s="133"/>
      <c r="N272" s="132"/>
      <c r="O272" s="132"/>
      <c r="P272" s="132"/>
      <c r="Q272" s="132"/>
      <c r="R272" s="132"/>
      <c r="S272" s="132"/>
      <c r="T272" s="132"/>
      <c r="U272" s="132"/>
    </row>
    <row r="273" spans="2:21">
      <c r="B273" s="137"/>
      <c r="C273" s="41"/>
      <c r="D273" s="41"/>
      <c r="E273"/>
      <c r="F273"/>
      <c r="G273"/>
      <c r="H273"/>
      <c r="I273"/>
      <c r="J273" s="136"/>
      <c r="K273" s="132"/>
      <c r="L273" s="136"/>
      <c r="M273" s="132"/>
      <c r="N273" s="132"/>
      <c r="O273" s="132"/>
      <c r="P273" s="132"/>
      <c r="Q273" s="132"/>
      <c r="R273" s="132"/>
      <c r="S273" s="132"/>
      <c r="T273" s="132"/>
      <c r="U273" s="132"/>
    </row>
    <row r="274" spans="2:21" ht="15.75">
      <c r="B274" s="195"/>
      <c r="C274" s="138"/>
      <c r="D274" s="128"/>
      <c r="E274" s="128"/>
      <c r="F274" s="197" t="str">
        <f>F202</f>
        <v>AEPTCo subsidiaries in PJM</v>
      </c>
      <c r="G274" s="129"/>
      <c r="H274" s="136"/>
      <c r="I274" s="136"/>
      <c r="J274" s="136"/>
      <c r="K274" s="132"/>
      <c r="L274" s="136"/>
      <c r="M274" s="167"/>
      <c r="N274" s="132"/>
      <c r="O274" s="132"/>
      <c r="P274" s="132"/>
      <c r="Q274" s="132"/>
      <c r="R274" s="132"/>
      <c r="S274" s="132"/>
      <c r="T274" s="132"/>
      <c r="U274" s="132"/>
    </row>
    <row r="275" spans="2:21">
      <c r="B275" s="195"/>
      <c r="C275" s="138"/>
      <c r="E275" s="138"/>
      <c r="F275" s="197" t="str">
        <f>F203</f>
        <v>Transmission Cost of Service Formula Rate</v>
      </c>
      <c r="G275" s="136"/>
      <c r="H275" s="136"/>
      <c r="I275" s="136"/>
      <c r="J275" s="136"/>
      <c r="K275" s="132"/>
      <c r="L275" s="146"/>
      <c r="M275" s="167"/>
      <c r="N275" s="132"/>
      <c r="O275" s="132"/>
      <c r="P275" s="132"/>
      <c r="Q275" s="132"/>
      <c r="R275" s="132"/>
      <c r="S275" s="132"/>
      <c r="T275" s="132"/>
      <c r="U275" s="132"/>
    </row>
    <row r="276" spans="2:21" ht="15.75">
      <c r="B276" s="195"/>
      <c r="C276" s="138"/>
      <c r="E276" s="198"/>
      <c r="F276" s="197" t="str">
        <f>F204</f>
        <v>Utilizing  Actual/Projected FERC Form 1 Data</v>
      </c>
      <c r="G276" s="136"/>
      <c r="H276" s="136"/>
      <c r="I276" s="136"/>
      <c r="J276" s="136"/>
      <c r="K276" s="132"/>
      <c r="L276" s="146"/>
      <c r="M276" s="167"/>
      <c r="N276" s="132"/>
      <c r="O276" s="132"/>
      <c r="P276" s="132"/>
      <c r="Q276" s="132"/>
      <c r="R276" s="132"/>
      <c r="S276" s="132"/>
      <c r="T276" s="132"/>
      <c r="U276" s="132"/>
    </row>
    <row r="277" spans="2:21" ht="15.75">
      <c r="B277" s="137"/>
      <c r="C277" s="138"/>
      <c r="E277" s="198"/>
      <c r="F277" s="197"/>
      <c r="G277" s="136"/>
      <c r="H277" s="136"/>
      <c r="I277" s="136"/>
      <c r="J277" s="136"/>
      <c r="K277" s="132"/>
      <c r="L277" s="146"/>
      <c r="N277" s="132"/>
      <c r="O277" s="132"/>
      <c r="P277" s="132"/>
      <c r="Q277" s="132"/>
      <c r="R277" s="132"/>
      <c r="S277" s="132"/>
      <c r="T277" s="132"/>
      <c r="U277" s="132"/>
    </row>
    <row r="278" spans="2:21" ht="15.75">
      <c r="B278" s="137"/>
      <c r="C278" s="138"/>
      <c r="E278" s="198"/>
      <c r="F278" s="197" t="str">
        <f>F206</f>
        <v>AEP Appalachian Transmission Company</v>
      </c>
      <c r="G278" s="136"/>
      <c r="H278" s="136"/>
      <c r="I278" s="136"/>
      <c r="J278" s="136"/>
      <c r="K278" s="132"/>
      <c r="L278" s="146"/>
      <c r="N278" s="132"/>
      <c r="O278" s="132"/>
      <c r="P278" s="132"/>
      <c r="Q278" s="132"/>
      <c r="R278" s="132"/>
      <c r="S278" s="132"/>
      <c r="T278" s="132"/>
      <c r="U278" s="132"/>
    </row>
    <row r="279" spans="2:21" ht="15.75">
      <c r="B279" s="137"/>
      <c r="C279" s="138"/>
      <c r="E279" s="198"/>
      <c r="F279" s="197"/>
      <c r="G279" s="136"/>
      <c r="H279" s="136"/>
      <c r="I279" s="136"/>
      <c r="J279" s="136"/>
      <c r="K279" s="132"/>
      <c r="L279" s="146"/>
      <c r="N279" s="132"/>
      <c r="O279" s="132"/>
      <c r="P279" s="132"/>
      <c r="Q279" s="132"/>
      <c r="R279" s="132"/>
      <c r="S279" s="132"/>
      <c r="T279" s="132"/>
      <c r="U279" s="132"/>
    </row>
    <row r="280" spans="2:21" ht="15.75">
      <c r="B280" s="175" t="s">
        <v>466</v>
      </c>
      <c r="C280" s="138"/>
      <c r="D280" s="132"/>
      <c r="E280" s="132"/>
      <c r="F280" s="175" t="s">
        <v>465</v>
      </c>
      <c r="G280" s="136"/>
      <c r="H280" s="136"/>
      <c r="I280" s="136"/>
      <c r="J280" s="136" t="s">
        <v>621</v>
      </c>
      <c r="K280" s="132"/>
      <c r="L280" s="136"/>
      <c r="N280" s="132"/>
      <c r="O280" s="132"/>
      <c r="P280" s="132"/>
      <c r="Q280" s="132"/>
      <c r="R280" s="132"/>
      <c r="S280" s="132"/>
      <c r="T280" s="132"/>
      <c r="U280" s="132"/>
    </row>
    <row r="281" spans="2:21">
      <c r="C281" s="138"/>
      <c r="L281" s="146"/>
      <c r="N281" s="132"/>
      <c r="O281" s="132"/>
      <c r="P281" s="132"/>
      <c r="Q281" s="132"/>
      <c r="R281" s="132"/>
      <c r="S281" s="132"/>
      <c r="T281" s="132"/>
      <c r="U281" s="132"/>
    </row>
    <row r="282" spans="2:21">
      <c r="B282" s="137"/>
      <c r="C282" s="138"/>
      <c r="D282" s="132" t="s">
        <v>324</v>
      </c>
      <c r="E282" s="138"/>
      <c r="F282" s="138"/>
      <c r="G282" s="136"/>
      <c r="H282" s="136"/>
      <c r="I282" s="136"/>
      <c r="J282" s="136"/>
      <c r="K282" s="132"/>
      <c r="L282" s="136"/>
      <c r="M282" s="132"/>
      <c r="N282" s="132"/>
      <c r="O282" s="132"/>
      <c r="P282" s="132"/>
      <c r="Q282" s="132"/>
      <c r="R282" s="132"/>
      <c r="S282" s="132"/>
      <c r="T282" s="132"/>
      <c r="U282" s="132"/>
    </row>
    <row r="283" spans="2:21">
      <c r="B283" s="127"/>
      <c r="D283" s="132"/>
      <c r="E283" s="132"/>
      <c r="F283" s="132"/>
      <c r="G283" s="136"/>
      <c r="H283" s="136"/>
      <c r="I283" s="136"/>
      <c r="J283" s="136"/>
      <c r="K283" s="132"/>
      <c r="L283" s="136"/>
      <c r="M283" s="132"/>
      <c r="N283" s="132"/>
      <c r="O283" s="132"/>
      <c r="P283" s="132"/>
      <c r="Q283" s="132"/>
      <c r="R283" s="132"/>
      <c r="S283" s="132"/>
      <c r="T283" s="132"/>
      <c r="U283" s="132"/>
    </row>
    <row r="284" spans="2:21">
      <c r="B284" s="127"/>
      <c r="D284" s="132"/>
      <c r="E284" s="132"/>
      <c r="F284" s="132"/>
      <c r="G284" s="136"/>
      <c r="H284" s="136"/>
      <c r="I284" s="136"/>
      <c r="J284" s="136"/>
      <c r="K284" s="132"/>
      <c r="L284" s="136"/>
      <c r="M284" s="132"/>
      <c r="N284" s="132"/>
      <c r="O284" s="132"/>
      <c r="P284" s="132"/>
      <c r="Q284" s="132"/>
      <c r="R284" s="132"/>
      <c r="S284" s="132"/>
      <c r="T284" s="132"/>
      <c r="U284" s="132"/>
    </row>
    <row r="285" spans="2:21">
      <c r="B285" s="279" t="s">
        <v>438</v>
      </c>
      <c r="C285" s="138"/>
      <c r="D285" s="132" t="s">
        <v>266</v>
      </c>
      <c r="E285" s="132"/>
      <c r="F285" s="132"/>
      <c r="G285" s="136"/>
      <c r="H285" s="136"/>
      <c r="I285" s="136"/>
      <c r="J285" s="136"/>
      <c r="K285" s="132"/>
      <c r="L285" s="136"/>
      <c r="M285" s="132"/>
      <c r="N285" s="132"/>
      <c r="O285" s="132"/>
      <c r="P285" s="132"/>
      <c r="Q285" s="132"/>
      <c r="R285" s="132"/>
      <c r="S285" s="132"/>
      <c r="T285" s="132"/>
      <c r="U285" s="132"/>
    </row>
    <row r="286" spans="2:21">
      <c r="B286" s="279"/>
      <c r="C286" s="197"/>
      <c r="D286" s="132" t="s">
        <v>164</v>
      </c>
      <c r="E286" s="132"/>
      <c r="F286" s="132"/>
      <c r="G286" s="132"/>
      <c r="H286" s="132"/>
      <c r="I286" s="132"/>
      <c r="J286" s="132"/>
      <c r="K286" s="132"/>
      <c r="L286" s="132"/>
      <c r="M286" s="132"/>
      <c r="N286" s="132"/>
      <c r="O286" s="132"/>
      <c r="P286" s="132"/>
      <c r="Q286" s="132"/>
      <c r="R286" s="132"/>
      <c r="S286" s="132"/>
      <c r="T286" s="132"/>
      <c r="U286" s="132"/>
    </row>
    <row r="287" spans="2:21">
      <c r="D287" s="127" t="s">
        <v>165</v>
      </c>
      <c r="E287" s="158"/>
      <c r="F287" s="158"/>
      <c r="G287" s="132"/>
      <c r="H287" s="132"/>
      <c r="I287" s="132"/>
      <c r="J287" s="132"/>
      <c r="K287" s="132"/>
      <c r="L287" s="132"/>
      <c r="M287" s="132"/>
      <c r="N287" s="132"/>
      <c r="O287" s="132"/>
      <c r="P287" s="132"/>
      <c r="Q287" s="132"/>
      <c r="R287" s="132"/>
      <c r="S287" s="132"/>
      <c r="T287" s="132"/>
      <c r="U287" s="132"/>
    </row>
    <row r="288" spans="2:21">
      <c r="D288" s="132" t="s">
        <v>267</v>
      </c>
      <c r="E288" s="132"/>
      <c r="F288" s="132"/>
      <c r="G288" s="132"/>
      <c r="H288" s="132"/>
      <c r="I288" s="132"/>
      <c r="J288" s="132"/>
      <c r="K288" s="132"/>
      <c r="L288" s="132"/>
      <c r="M288" s="132"/>
      <c r="N288" s="132"/>
      <c r="O288" s="132"/>
      <c r="P288" s="132"/>
      <c r="Q288" s="132"/>
      <c r="R288" s="132"/>
      <c r="S288" s="132"/>
      <c r="T288" s="132"/>
      <c r="U288" s="132"/>
    </row>
    <row r="289" spans="2:21">
      <c r="B289" s="137"/>
      <c r="C289" s="138"/>
      <c r="D289" s="132" t="s">
        <v>268</v>
      </c>
      <c r="E289" s="132"/>
      <c r="F289" s="132"/>
      <c r="G289" s="132"/>
      <c r="H289" s="132"/>
      <c r="I289" s="132"/>
      <c r="J289" s="132"/>
      <c r="K289" s="132"/>
      <c r="L289" s="132"/>
      <c r="M289" s="132"/>
      <c r="N289" s="132"/>
      <c r="O289" s="132"/>
      <c r="P289" s="132"/>
      <c r="Q289" s="132"/>
      <c r="R289" s="132"/>
      <c r="S289" s="132"/>
      <c r="T289" s="132"/>
      <c r="U289" s="132"/>
    </row>
    <row r="290" spans="2:21">
      <c r="B290" s="137"/>
      <c r="C290" s="138"/>
      <c r="D290" s="132" t="s">
        <v>166</v>
      </c>
      <c r="E290" s="132"/>
      <c r="F290" s="132"/>
      <c r="G290" s="132"/>
      <c r="H290" s="132"/>
      <c r="I290" s="132"/>
      <c r="J290" s="132"/>
      <c r="K290" s="132"/>
      <c r="L290" s="132"/>
      <c r="M290" s="132"/>
      <c r="N290" s="132"/>
      <c r="O290" s="132"/>
      <c r="P290" s="132"/>
      <c r="Q290" s="132"/>
      <c r="R290" s="132"/>
      <c r="S290" s="132"/>
      <c r="T290" s="132"/>
      <c r="U290" s="132"/>
    </row>
    <row r="291" spans="2:21">
      <c r="B291" s="137"/>
      <c r="C291" s="138"/>
      <c r="D291" s="132" t="s">
        <v>167</v>
      </c>
      <c r="E291" s="132"/>
      <c r="F291" s="132"/>
      <c r="G291" s="132"/>
      <c r="H291" s="132"/>
      <c r="I291" s="132"/>
      <c r="J291" s="132"/>
      <c r="K291" s="132"/>
      <c r="L291" s="132"/>
      <c r="M291" s="132"/>
      <c r="N291" s="132"/>
      <c r="O291" s="132"/>
      <c r="P291" s="132"/>
      <c r="Q291" s="132"/>
      <c r="R291" s="132"/>
      <c r="S291" s="132"/>
      <c r="T291" s="132"/>
      <c r="U291" s="132"/>
    </row>
    <row r="292" spans="2:21">
      <c r="B292" s="137"/>
      <c r="C292" s="138"/>
      <c r="D292" s="132" t="s">
        <v>603</v>
      </c>
      <c r="E292" s="132"/>
      <c r="F292" s="132"/>
      <c r="G292" s="132"/>
      <c r="H292" s="132"/>
      <c r="I292" s="132"/>
      <c r="J292" s="132"/>
      <c r="K292" s="132"/>
      <c r="L292" s="132"/>
      <c r="M292" s="132"/>
      <c r="N292" s="132"/>
      <c r="O292" s="132"/>
      <c r="P292" s="132"/>
      <c r="Q292" s="132"/>
      <c r="R292" s="132"/>
      <c r="S292" s="132"/>
      <c r="T292" s="132"/>
      <c r="U292" s="132"/>
    </row>
    <row r="293" spans="2:21">
      <c r="B293" s="137"/>
      <c r="C293" s="138"/>
      <c r="D293" s="132" t="s">
        <v>590</v>
      </c>
      <c r="E293" s="132"/>
      <c r="F293" s="132"/>
      <c r="G293" s="132"/>
      <c r="H293" s="132"/>
      <c r="I293" s="132"/>
      <c r="J293" s="132"/>
      <c r="K293" s="132"/>
      <c r="L293" s="132"/>
      <c r="M293" s="132"/>
      <c r="N293" s="132"/>
      <c r="O293" s="132"/>
      <c r="P293" s="132"/>
      <c r="Q293" s="132"/>
      <c r="R293" s="132"/>
      <c r="S293" s="132"/>
      <c r="T293" s="132"/>
      <c r="U293" s="132"/>
    </row>
    <row r="294" spans="2:21">
      <c r="B294" s="137"/>
      <c r="C294" s="138"/>
      <c r="D294" s="132" t="s">
        <v>604</v>
      </c>
      <c r="E294" s="132"/>
      <c r="F294" s="132"/>
      <c r="G294" s="132"/>
      <c r="H294" s="132"/>
      <c r="I294" s="132"/>
      <c r="J294" s="132"/>
      <c r="K294" s="132"/>
      <c r="L294" s="132"/>
      <c r="M294" s="132"/>
      <c r="N294" s="132"/>
      <c r="O294" s="132"/>
      <c r="P294" s="132"/>
      <c r="Q294" s="132"/>
      <c r="R294" s="132"/>
      <c r="S294" s="132"/>
      <c r="T294" s="132"/>
      <c r="U294" s="132"/>
    </row>
    <row r="295" spans="2:21">
      <c r="B295" s="137"/>
      <c r="C295" s="138"/>
      <c r="D295" s="132" t="s">
        <v>591</v>
      </c>
      <c r="E295" s="132"/>
      <c r="F295" s="132"/>
      <c r="G295" s="132"/>
      <c r="H295" s="132"/>
      <c r="I295" s="132"/>
      <c r="J295" s="132"/>
      <c r="K295" s="132"/>
      <c r="L295" s="132"/>
      <c r="M295" s="132"/>
      <c r="N295" s="132"/>
      <c r="O295" s="132"/>
      <c r="P295" s="132"/>
      <c r="Q295" s="132"/>
      <c r="R295" s="132"/>
      <c r="S295" s="132"/>
      <c r="T295" s="132"/>
      <c r="U295" s="132"/>
    </row>
    <row r="296" spans="2:21">
      <c r="B296" s="137"/>
      <c r="C296" s="138"/>
      <c r="D296" s="132" t="s">
        <v>273</v>
      </c>
      <c r="E296" s="132"/>
      <c r="F296" s="132"/>
      <c r="G296" s="132"/>
      <c r="H296" s="132"/>
      <c r="I296" s="132"/>
      <c r="J296" s="132"/>
      <c r="K296" s="132"/>
      <c r="L296" s="132"/>
      <c r="M296" s="132"/>
      <c r="N296" s="132"/>
      <c r="O296" s="132"/>
      <c r="P296" s="132"/>
      <c r="Q296" s="132"/>
      <c r="R296" s="132"/>
      <c r="S296" s="132"/>
      <c r="T296" s="132"/>
      <c r="U296" s="132"/>
    </row>
    <row r="297" spans="2:21">
      <c r="B297" s="137"/>
      <c r="C297" s="138"/>
      <c r="D297" s="133"/>
      <c r="E297" s="132"/>
      <c r="F297" s="132"/>
      <c r="G297" s="132"/>
      <c r="H297" s="132"/>
      <c r="I297" s="132"/>
      <c r="J297" s="132"/>
      <c r="K297" s="132"/>
      <c r="L297" s="132"/>
      <c r="M297" s="132"/>
      <c r="N297" s="132"/>
      <c r="O297" s="132"/>
      <c r="P297" s="132"/>
      <c r="Q297" s="132"/>
      <c r="R297" s="132"/>
      <c r="S297" s="132"/>
      <c r="T297" s="132"/>
      <c r="U297" s="132"/>
    </row>
    <row r="298" spans="2:21" ht="15" customHeight="1">
      <c r="B298" s="137" t="s">
        <v>439</v>
      </c>
      <c r="C298" s="138"/>
      <c r="D298" s="1131" t="s">
        <v>605</v>
      </c>
      <c r="E298" s="1125"/>
      <c r="F298" s="1125"/>
      <c r="G298" s="1125"/>
      <c r="H298" s="1125"/>
      <c r="I298" s="1125"/>
      <c r="J298" s="1125"/>
      <c r="K298" s="1125"/>
      <c r="L298" s="132"/>
      <c r="M298" s="132"/>
      <c r="N298" s="132"/>
      <c r="O298" s="132"/>
      <c r="P298" s="132"/>
      <c r="Q298" s="132"/>
      <c r="R298" s="132"/>
      <c r="S298" s="132"/>
      <c r="T298" s="132"/>
      <c r="U298" s="132"/>
    </row>
    <row r="299" spans="2:21">
      <c r="B299" s="137"/>
      <c r="C299" s="138"/>
      <c r="D299" s="1125"/>
      <c r="E299" s="1125"/>
      <c r="F299" s="1125"/>
      <c r="G299" s="1125"/>
      <c r="H299" s="1125"/>
      <c r="I299" s="1125"/>
      <c r="J299" s="1125"/>
      <c r="K299" s="1125"/>
      <c r="L299" s="132"/>
      <c r="M299" s="132"/>
      <c r="N299" s="132"/>
      <c r="O299" s="132"/>
      <c r="P299" s="132"/>
      <c r="Q299" s="132"/>
      <c r="R299" s="132"/>
      <c r="S299" s="132"/>
      <c r="T299" s="132"/>
      <c r="U299" s="132"/>
    </row>
    <row r="300" spans="2:21">
      <c r="E300" s="132"/>
      <c r="F300" s="132"/>
      <c r="G300" s="132"/>
      <c r="H300" s="132"/>
      <c r="I300" s="132"/>
      <c r="J300" s="132"/>
      <c r="K300" s="132"/>
      <c r="L300" s="132"/>
      <c r="M300" s="132"/>
      <c r="N300" s="132"/>
      <c r="O300" s="132"/>
      <c r="P300" s="132"/>
      <c r="Q300" s="132"/>
      <c r="R300" s="132"/>
      <c r="S300" s="132"/>
      <c r="T300" s="132"/>
      <c r="U300" s="132"/>
    </row>
    <row r="301" spans="2:21">
      <c r="B301" s="137" t="s">
        <v>440</v>
      </c>
      <c r="C301" s="138"/>
      <c r="D301" s="133" t="s">
        <v>795</v>
      </c>
      <c r="E301" s="132"/>
      <c r="F301" s="132"/>
      <c r="G301" s="132"/>
      <c r="H301" s="132"/>
      <c r="I301" s="132"/>
      <c r="J301" s="132"/>
      <c r="K301" s="132"/>
      <c r="L301" s="132"/>
      <c r="M301" s="132"/>
      <c r="N301" s="132"/>
      <c r="O301" s="132"/>
      <c r="P301" s="132"/>
      <c r="Q301" s="132"/>
      <c r="R301" s="132"/>
      <c r="S301" s="132"/>
      <c r="T301" s="132"/>
      <c r="U301" s="132"/>
    </row>
    <row r="302" spans="2:21">
      <c r="B302" s="137"/>
      <c r="C302" s="138"/>
      <c r="D302" s="133"/>
      <c r="E302" s="132"/>
      <c r="F302" s="132"/>
      <c r="G302" s="132"/>
      <c r="H302" s="132"/>
      <c r="I302" s="132"/>
      <c r="J302" s="132"/>
      <c r="K302" s="132"/>
      <c r="L302" s="132"/>
      <c r="M302" s="132"/>
      <c r="N302" s="132"/>
      <c r="O302" s="132"/>
      <c r="P302" s="132"/>
      <c r="Q302" s="132"/>
      <c r="R302" s="132"/>
      <c r="S302" s="132"/>
      <c r="T302" s="132"/>
      <c r="U302" s="132"/>
    </row>
    <row r="303" spans="2:21">
      <c r="B303" s="137" t="s">
        <v>441</v>
      </c>
      <c r="C303" s="138"/>
      <c r="D303" s="132" t="s">
        <v>30</v>
      </c>
      <c r="E303" s="132"/>
      <c r="F303" s="132"/>
      <c r="G303" s="132"/>
      <c r="H303" s="132"/>
      <c r="I303" s="132"/>
      <c r="J303" s="132"/>
      <c r="K303" s="132"/>
      <c r="L303" s="132"/>
      <c r="M303" s="132"/>
      <c r="N303" s="132"/>
      <c r="O303" s="132"/>
      <c r="P303" s="132"/>
      <c r="Q303" s="132"/>
      <c r="R303" s="132"/>
      <c r="S303" s="132"/>
      <c r="T303" s="132"/>
      <c r="U303" s="132"/>
    </row>
    <row r="304" spans="2:21">
      <c r="B304" s="137"/>
      <c r="C304" s="138"/>
      <c r="D304" s="132" t="s">
        <v>279</v>
      </c>
      <c r="E304" s="132"/>
      <c r="F304" s="132"/>
      <c r="G304" s="132"/>
      <c r="H304" s="132"/>
      <c r="I304" s="132"/>
      <c r="J304" s="132"/>
      <c r="K304" s="132"/>
      <c r="L304" s="132"/>
      <c r="M304" s="132"/>
      <c r="N304" s="132"/>
      <c r="O304" s="132"/>
      <c r="P304" s="132"/>
      <c r="Q304" s="132"/>
      <c r="R304" s="132"/>
      <c r="S304" s="132"/>
      <c r="T304" s="132"/>
      <c r="U304" s="132"/>
    </row>
    <row r="305" spans="2:21">
      <c r="B305" s="137"/>
      <c r="C305" s="138"/>
      <c r="D305" s="132" t="s">
        <v>285</v>
      </c>
      <c r="E305" s="132"/>
      <c r="F305" s="132"/>
      <c r="G305" s="132"/>
      <c r="H305" s="132"/>
      <c r="I305" s="132"/>
      <c r="J305" s="132"/>
      <c r="K305" s="132"/>
      <c r="L305" s="132"/>
      <c r="M305" s="132"/>
      <c r="N305" s="132"/>
      <c r="O305" s="132"/>
      <c r="P305" s="132"/>
      <c r="Q305" s="132"/>
      <c r="R305" s="132"/>
      <c r="S305" s="132"/>
      <c r="T305" s="132"/>
      <c r="U305" s="132"/>
    </row>
    <row r="306" spans="2:21">
      <c r="B306" s="137"/>
      <c r="C306" s="138"/>
      <c r="D306" s="132" t="s">
        <v>154</v>
      </c>
      <c r="E306" s="132"/>
      <c r="F306" s="132"/>
      <c r="G306" s="132"/>
      <c r="H306" s="132"/>
      <c r="I306" s="132"/>
      <c r="J306" s="132"/>
      <c r="K306" s="132"/>
      <c r="L306" s="132"/>
      <c r="M306" s="132"/>
      <c r="N306" s="132"/>
      <c r="O306" s="132"/>
      <c r="P306" s="132"/>
      <c r="Q306" s="132"/>
      <c r="R306" s="132"/>
      <c r="S306" s="132"/>
      <c r="T306" s="132"/>
      <c r="U306" s="132"/>
    </row>
    <row r="307" spans="2:21">
      <c r="B307" s="137"/>
      <c r="C307" s="138"/>
      <c r="D307" s="132" t="s">
        <v>592</v>
      </c>
      <c r="E307" s="132"/>
      <c r="F307" s="132"/>
      <c r="G307" s="132"/>
      <c r="H307" s="132"/>
      <c r="I307" s="132"/>
      <c r="J307" s="132"/>
      <c r="K307" s="132"/>
      <c r="L307" s="132"/>
      <c r="M307" s="132"/>
      <c r="N307" s="132"/>
      <c r="O307" s="132"/>
      <c r="P307" s="132"/>
      <c r="Q307" s="132"/>
      <c r="R307" s="132"/>
      <c r="S307" s="132"/>
      <c r="T307" s="132"/>
      <c r="U307" s="132"/>
    </row>
    <row r="308" spans="2:21">
      <c r="B308" s="137"/>
      <c r="C308" s="138"/>
      <c r="D308" s="132" t="s">
        <v>593</v>
      </c>
      <c r="E308" s="132"/>
      <c r="F308" s="132"/>
      <c r="G308" s="132"/>
      <c r="H308" s="132"/>
      <c r="I308" s="132"/>
      <c r="J308" s="132"/>
      <c r="K308" s="132"/>
      <c r="L308" s="132"/>
      <c r="M308" s="132"/>
      <c r="N308" s="132"/>
      <c r="O308" s="132"/>
      <c r="P308" s="132"/>
      <c r="Q308" s="132"/>
      <c r="R308" s="132"/>
      <c r="S308" s="132"/>
      <c r="T308" s="132"/>
      <c r="U308" s="132"/>
    </row>
    <row r="309" spans="2:21">
      <c r="B309" s="137"/>
      <c r="C309" s="138"/>
      <c r="D309" s="132" t="s">
        <v>594</v>
      </c>
      <c r="E309" s="132"/>
      <c r="F309" s="132"/>
      <c r="G309" s="132"/>
      <c r="H309" s="132"/>
      <c r="I309" s="132"/>
      <c r="J309" s="132"/>
      <c r="K309" s="132"/>
      <c r="L309" s="132"/>
      <c r="M309" s="132"/>
      <c r="N309" s="132"/>
      <c r="O309" s="132"/>
      <c r="P309" s="132"/>
      <c r="Q309" s="132"/>
      <c r="R309" s="132"/>
      <c r="S309" s="132"/>
      <c r="T309" s="132"/>
      <c r="U309" s="132"/>
    </row>
    <row r="310" spans="2:21">
      <c r="B310" s="137"/>
      <c r="C310" s="138"/>
      <c r="D310" s="132" t="s">
        <v>100</v>
      </c>
      <c r="E310" s="132"/>
      <c r="F310" s="132"/>
      <c r="G310" s="132"/>
      <c r="H310" s="132"/>
      <c r="I310" s="132"/>
      <c r="J310" s="132"/>
      <c r="K310" s="132"/>
      <c r="L310" s="132"/>
      <c r="M310" s="132"/>
      <c r="N310" s="132"/>
      <c r="O310" s="132"/>
      <c r="P310" s="132"/>
      <c r="Q310" s="132"/>
      <c r="R310" s="132"/>
      <c r="S310" s="132"/>
      <c r="T310" s="132"/>
      <c r="U310" s="132"/>
    </row>
    <row r="311" spans="2:21">
      <c r="B311" s="137"/>
      <c r="C311" s="138"/>
      <c r="D311" s="132"/>
      <c r="E311" s="132"/>
      <c r="F311" s="132"/>
      <c r="G311" s="132"/>
      <c r="H311" s="132"/>
      <c r="I311" s="132"/>
      <c r="J311" s="132"/>
      <c r="K311" s="132"/>
      <c r="L311" s="132"/>
      <c r="M311" s="132"/>
      <c r="N311" s="132"/>
      <c r="O311" s="132"/>
      <c r="P311" s="132"/>
      <c r="Q311" s="132"/>
      <c r="R311" s="132"/>
      <c r="S311" s="132"/>
      <c r="T311" s="132"/>
      <c r="U311" s="132"/>
    </row>
    <row r="312" spans="2:21">
      <c r="B312" s="137" t="s">
        <v>442</v>
      </c>
      <c r="C312" s="132"/>
      <c r="D312" s="132" t="str">
        <f>"Cash Working Capital assigned to transmission is one-eighth of O&amp;M allocated to transmission, as shown on line "&amp;B140&amp;". It excludes:"</f>
        <v>Cash Working Capital assigned to transmission is one-eighth of O&amp;M allocated to transmission, as shown on line 66. It excludes:</v>
      </c>
      <c r="E312" s="3"/>
      <c r="F312" s="3"/>
      <c r="G312" s="3"/>
      <c r="H312" s="3"/>
      <c r="I312" s="3"/>
      <c r="J312" s="3"/>
      <c r="K312" s="3"/>
      <c r="L312" s="280"/>
      <c r="M312" s="132"/>
      <c r="N312" s="132"/>
      <c r="O312" s="132"/>
      <c r="P312" s="132"/>
      <c r="Q312" s="132"/>
      <c r="R312" s="132"/>
      <c r="S312" s="132"/>
      <c r="T312" s="132"/>
      <c r="U312" s="132"/>
    </row>
    <row r="313" spans="2:21">
      <c r="B313" s="137"/>
      <c r="C313" s="132"/>
      <c r="D313" s="281"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3" s="41"/>
      <c r="F313" s="41"/>
      <c r="G313" s="41"/>
      <c r="H313" s="41"/>
      <c r="I313" s="41"/>
      <c r="J313" s="41"/>
      <c r="K313" s="41"/>
      <c r="L313" s="280"/>
      <c r="M313" s="132"/>
      <c r="N313" s="132"/>
      <c r="O313" s="132"/>
      <c r="P313" s="132"/>
      <c r="Q313" s="132"/>
      <c r="R313" s="132"/>
      <c r="S313" s="132"/>
      <c r="T313" s="132"/>
      <c r="U313" s="132"/>
    </row>
    <row r="314" spans="2:21">
      <c r="B314" s="137"/>
      <c r="C314" s="132"/>
      <c r="D314" s="282" t="str">
        <f>+"2)  Costs of Transmission of Electricity by Others, as described in Note H."</f>
        <v>2)  Costs of Transmission of Electricity by Others, as described in Note H.</v>
      </c>
      <c r="E314" s="3"/>
      <c r="F314" s="3"/>
      <c r="G314" s="3"/>
      <c r="H314" s="3"/>
      <c r="I314" s="3"/>
      <c r="J314" s="3"/>
      <c r="K314" s="3"/>
      <c r="L314" s="280"/>
      <c r="M314" s="132"/>
      <c r="N314" s="132"/>
      <c r="O314" s="132"/>
      <c r="P314" s="132"/>
      <c r="Q314" s="132"/>
      <c r="R314" s="132"/>
      <c r="S314" s="132"/>
      <c r="T314" s="132"/>
      <c r="U314" s="132"/>
    </row>
    <row r="315" spans="2:21">
      <c r="B315" s="137"/>
      <c r="C315" s="132"/>
      <c r="D315" s="281" t="str">
        <f>+"3)  The impact of state regulatory deferrals and amortizations, as shown on line  "&amp;B139&amp;""</f>
        <v>3)  The impact of state regulatory deferrals and amortizations, as shown on line  65</v>
      </c>
      <c r="E315" s="41"/>
      <c r="F315" s="41"/>
      <c r="G315" s="41"/>
      <c r="H315" s="41"/>
      <c r="I315" s="41"/>
      <c r="J315" s="41"/>
      <c r="K315" s="41"/>
      <c r="L315" s="280"/>
      <c r="M315" s="132"/>
      <c r="N315" s="132"/>
      <c r="O315" s="132"/>
      <c r="P315" s="132"/>
      <c r="Q315" s="132"/>
      <c r="R315" s="132"/>
      <c r="S315" s="132"/>
      <c r="T315" s="132"/>
      <c r="U315" s="132"/>
    </row>
    <row r="316" spans="2:21">
      <c r="B316" s="137"/>
      <c r="C316" s="41"/>
      <c r="D316" s="282" t="str">
        <f>"4) All A&amp;G Expenses, as shown on line "&amp;B154&amp;"."</f>
        <v>4) All A&amp;G Expenses, as shown on line 78.</v>
      </c>
      <c r="E316" s="3"/>
      <c r="F316" s="3"/>
      <c r="G316" s="3"/>
      <c r="H316" s="3"/>
      <c r="I316" s="3"/>
      <c r="J316" s="3"/>
      <c r="K316" s="3"/>
      <c r="L316" s="280"/>
      <c r="M316" s="132"/>
      <c r="N316" s="132"/>
      <c r="O316" s="132"/>
      <c r="P316" s="132"/>
      <c r="Q316" s="132"/>
      <c r="R316" s="132"/>
      <c r="S316" s="132"/>
      <c r="T316" s="132"/>
      <c r="U316" s="132"/>
    </row>
    <row r="317" spans="2:21">
      <c r="B317" s="137"/>
      <c r="C317" s="138"/>
      <c r="D317" s="281"/>
      <c r="E317" s="281"/>
      <c r="F317" s="281"/>
      <c r="G317" s="281"/>
      <c r="H317" s="281"/>
      <c r="I317" s="281"/>
      <c r="J317" s="281"/>
      <c r="K317" s="281"/>
      <c r="L317" s="132"/>
      <c r="M317" s="132"/>
      <c r="N317" s="132"/>
      <c r="O317" s="132"/>
      <c r="P317" s="132"/>
      <c r="Q317" s="132"/>
      <c r="R317" s="132"/>
      <c r="S317" s="132"/>
      <c r="T317" s="132"/>
      <c r="U317" s="132"/>
    </row>
    <row r="318" spans="2:21">
      <c r="B318" s="279" t="s">
        <v>443</v>
      </c>
      <c r="C318" s="197"/>
      <c r="D318" s="283"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8" s="283"/>
      <c r="F318" s="283"/>
      <c r="G318" s="283"/>
      <c r="H318" s="283"/>
      <c r="I318" s="283"/>
      <c r="J318" s="283"/>
      <c r="K318" s="283"/>
      <c r="M318" s="132"/>
      <c r="N318" s="132"/>
      <c r="O318" s="132"/>
      <c r="P318" s="132"/>
      <c r="Q318" s="132"/>
      <c r="R318" s="132"/>
      <c r="S318" s="132"/>
      <c r="T318" s="132"/>
      <c r="U318" s="132"/>
    </row>
    <row r="319" spans="2:21">
      <c r="D319" s="283" t="s">
        <v>499</v>
      </c>
      <c r="E319" s="283"/>
      <c r="F319" s="283"/>
      <c r="G319" s="283"/>
      <c r="H319" s="283"/>
      <c r="I319" s="283"/>
      <c r="J319" s="283"/>
      <c r="K319" s="283"/>
      <c r="M319" s="132"/>
      <c r="N319" s="132"/>
      <c r="O319" s="132"/>
      <c r="P319" s="132"/>
      <c r="Q319" s="132"/>
      <c r="R319" s="132"/>
      <c r="S319" s="132"/>
      <c r="T319" s="132"/>
      <c r="U319" s="132"/>
    </row>
    <row r="320" spans="2:21">
      <c r="D320" s="283" t="str">
        <f>"expense is included on line "&amp;B193&amp;"."</f>
        <v>expense is included on line 110.</v>
      </c>
      <c r="E320" s="283"/>
      <c r="F320" s="283"/>
      <c r="G320" s="283"/>
      <c r="H320" s="283"/>
      <c r="I320" s="283"/>
      <c r="J320" s="283"/>
      <c r="K320" s="283"/>
      <c r="M320" s="132"/>
      <c r="N320" s="132"/>
      <c r="O320" s="132"/>
      <c r="P320" s="132"/>
      <c r="Q320" s="132"/>
      <c r="R320" s="132"/>
      <c r="S320" s="132"/>
      <c r="T320" s="132"/>
      <c r="U320" s="132"/>
    </row>
    <row r="321" spans="2:21" ht="21" customHeight="1">
      <c r="D321" s="283"/>
      <c r="E321" s="283"/>
      <c r="F321" s="283"/>
      <c r="G321" s="283"/>
      <c r="H321" s="283"/>
      <c r="I321" s="283"/>
      <c r="J321" s="283"/>
      <c r="K321" s="283"/>
      <c r="N321" s="132"/>
      <c r="O321" s="132"/>
      <c r="P321" s="132"/>
      <c r="Q321" s="132"/>
      <c r="R321" s="132"/>
      <c r="S321" s="132"/>
      <c r="T321" s="132"/>
      <c r="U321" s="132"/>
    </row>
    <row r="322" spans="2:21" ht="14.25" customHeight="1">
      <c r="B322" s="279" t="s">
        <v>444</v>
      </c>
      <c r="D322" s="1117"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2" s="1117"/>
      <c r="F322" s="1117"/>
      <c r="G322" s="1117"/>
      <c r="H322" s="1117"/>
      <c r="I322" s="1117"/>
      <c r="J322" s="1117"/>
      <c r="K322" s="1117"/>
      <c r="N322" s="132"/>
      <c r="O322" s="132"/>
      <c r="P322" s="132"/>
      <c r="Q322" s="132"/>
      <c r="R322" s="132"/>
      <c r="S322" s="132"/>
      <c r="T322" s="132"/>
      <c r="U322" s="132"/>
    </row>
    <row r="323" spans="2:21" ht="45" customHeight="1">
      <c r="B323" s="279"/>
      <c r="D323" s="1117"/>
      <c r="E323" s="1117"/>
      <c r="F323" s="1117"/>
      <c r="G323" s="1117"/>
      <c r="H323" s="1117"/>
      <c r="I323" s="1117"/>
      <c r="J323" s="1117"/>
      <c r="K323" s="1117"/>
      <c r="N323" s="132"/>
      <c r="O323" s="132"/>
      <c r="P323" s="132"/>
      <c r="Q323" s="132"/>
      <c r="R323" s="132"/>
      <c r="S323" s="132"/>
      <c r="T323" s="132"/>
      <c r="U323" s="132"/>
    </row>
    <row r="324" spans="2:21" ht="5.25" hidden="1" customHeight="1">
      <c r="B324" s="279"/>
      <c r="D324" s="1117"/>
      <c r="E324" s="1117"/>
      <c r="F324" s="1117"/>
      <c r="G324" s="1117"/>
      <c r="H324" s="1117"/>
      <c r="I324" s="1117"/>
      <c r="J324" s="1117"/>
      <c r="K324" s="1117"/>
      <c r="N324" s="132"/>
      <c r="O324" s="132"/>
      <c r="P324" s="132"/>
      <c r="Q324" s="132"/>
      <c r="R324" s="132"/>
      <c r="S324" s="132"/>
      <c r="T324" s="132"/>
      <c r="U324" s="132"/>
    </row>
    <row r="325" spans="2:21">
      <c r="B325" s="279"/>
      <c r="D325" s="281"/>
      <c r="E325" s="283"/>
      <c r="F325" s="283"/>
      <c r="G325" s="283"/>
      <c r="H325" s="283"/>
      <c r="I325" s="283"/>
      <c r="J325" s="283"/>
      <c r="K325" s="283"/>
      <c r="N325" s="132"/>
      <c r="O325" s="132"/>
      <c r="P325" s="132"/>
      <c r="Q325" s="132"/>
      <c r="R325" s="132"/>
      <c r="S325" s="132"/>
      <c r="T325" s="132"/>
      <c r="U325" s="132"/>
    </row>
    <row r="326" spans="2:21">
      <c r="B326" s="279" t="s">
        <v>445</v>
      </c>
      <c r="D326" s="1120"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6" s="1120"/>
      <c r="F326" s="1120"/>
      <c r="G326" s="1120"/>
      <c r="H326" s="1120"/>
      <c r="I326" s="1120"/>
      <c r="J326" s="1120"/>
      <c r="K326" s="1120"/>
      <c r="N326" s="132"/>
      <c r="O326" s="132"/>
      <c r="P326" s="132"/>
      <c r="Q326" s="132"/>
      <c r="R326" s="132"/>
      <c r="S326" s="132"/>
      <c r="T326" s="132"/>
      <c r="U326" s="132"/>
    </row>
    <row r="327" spans="2:21">
      <c r="B327" s="279"/>
      <c r="D327" s="1120"/>
      <c r="E327" s="1120"/>
      <c r="F327" s="1120"/>
      <c r="G327" s="1120"/>
      <c r="H327" s="1120"/>
      <c r="I327" s="1120"/>
      <c r="J327" s="1120"/>
      <c r="K327" s="1120"/>
      <c r="N327" s="132"/>
      <c r="O327" s="132"/>
      <c r="P327" s="132"/>
      <c r="Q327" s="132"/>
      <c r="R327" s="132"/>
      <c r="S327" s="132"/>
      <c r="T327" s="132"/>
      <c r="U327" s="132"/>
    </row>
    <row r="328" spans="2:21">
      <c r="B328" s="279"/>
      <c r="D328" s="1121"/>
      <c r="E328" s="1121"/>
      <c r="F328" s="1121"/>
      <c r="G328" s="1121"/>
      <c r="H328" s="1121"/>
      <c r="I328" s="1121"/>
      <c r="J328" s="1121"/>
      <c r="K328" s="1121"/>
      <c r="N328" s="132"/>
      <c r="O328" s="132"/>
      <c r="P328" s="132"/>
      <c r="Q328" s="132"/>
      <c r="R328" s="132"/>
      <c r="S328" s="132"/>
      <c r="T328" s="132"/>
      <c r="U328" s="132"/>
    </row>
    <row r="329" spans="2:21">
      <c r="B329" s="279"/>
      <c r="D329" s="1122"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9" s="1122"/>
      <c r="F329" s="1122"/>
      <c r="G329" s="1122"/>
      <c r="H329" s="1122"/>
      <c r="I329" s="1122"/>
      <c r="J329" s="1122"/>
      <c r="K329" s="284"/>
      <c r="N329" s="132"/>
      <c r="O329" s="132"/>
      <c r="P329" s="132"/>
      <c r="Q329" s="132"/>
      <c r="R329" s="132"/>
      <c r="S329" s="132"/>
      <c r="T329" s="132"/>
      <c r="U329" s="132"/>
    </row>
    <row r="330" spans="2:21">
      <c r="B330" s="279"/>
      <c r="D330" s="1122"/>
      <c r="E330" s="1122"/>
      <c r="F330" s="1122"/>
      <c r="G330" s="1122"/>
      <c r="H330" s="1122"/>
      <c r="I330" s="1122"/>
      <c r="J330" s="1122"/>
      <c r="K330" s="284"/>
      <c r="N330" s="132"/>
      <c r="O330" s="132"/>
      <c r="P330" s="132"/>
      <c r="Q330" s="132"/>
      <c r="R330" s="132"/>
      <c r="S330" s="132"/>
      <c r="T330" s="132"/>
      <c r="U330" s="132"/>
    </row>
    <row r="331" spans="2:21" ht="22.5" customHeight="1">
      <c r="B331" s="279"/>
      <c r="D331" s="283" t="str">
        <f>"The company records referenced on line"&amp;B157&amp;" is the "&amp;F9&amp;" general ledger."</f>
        <v>The company records referenced on line80 is the AEP Appalachian Transmission Company general ledger.</v>
      </c>
      <c r="E331" s="285"/>
      <c r="F331" s="285"/>
      <c r="G331" s="285"/>
      <c r="H331" s="285"/>
      <c r="I331" s="285"/>
      <c r="J331" s="285"/>
      <c r="K331" s="284"/>
      <c r="N331" s="132"/>
      <c r="O331" s="132"/>
      <c r="P331" s="132"/>
      <c r="Q331" s="132"/>
      <c r="R331" s="132"/>
      <c r="S331" s="132"/>
      <c r="T331" s="132"/>
      <c r="U331" s="132"/>
    </row>
    <row r="332" spans="2:21">
      <c r="B332" s="279"/>
      <c r="D332" s="285"/>
      <c r="E332" s="285"/>
      <c r="F332" s="285"/>
      <c r="G332" s="285"/>
      <c r="H332" s="285"/>
      <c r="I332" s="285"/>
      <c r="J332" s="285"/>
      <c r="K332" s="285"/>
      <c r="N332" s="132"/>
      <c r="O332" s="132"/>
      <c r="P332" s="132"/>
      <c r="Q332" s="132"/>
      <c r="R332" s="132"/>
      <c r="S332" s="132"/>
      <c r="T332" s="132"/>
      <c r="U332" s="132"/>
    </row>
    <row r="333" spans="2:21">
      <c r="B333" s="279" t="s">
        <v>446</v>
      </c>
      <c r="D333" s="283" t="s">
        <v>595</v>
      </c>
      <c r="E333" s="41"/>
      <c r="F333" s="41"/>
      <c r="G333" s="41"/>
      <c r="H333" s="41"/>
      <c r="I333" s="41"/>
      <c r="J333" s="41"/>
      <c r="K333" s="41"/>
      <c r="N333" s="132"/>
      <c r="O333" s="132"/>
      <c r="P333" s="132"/>
      <c r="Q333" s="132"/>
      <c r="R333" s="132"/>
      <c r="S333" s="132"/>
      <c r="T333" s="132"/>
      <c r="U333" s="132"/>
    </row>
    <row r="334" spans="2:21">
      <c r="B334" s="279"/>
      <c r="D334" s="286"/>
      <c r="E334" s="286"/>
      <c r="F334" s="286"/>
      <c r="G334" s="286"/>
      <c r="H334" s="286"/>
      <c r="I334" s="286"/>
      <c r="J334" s="286"/>
      <c r="K334" s="286"/>
      <c r="N334" s="132"/>
      <c r="O334" s="132"/>
      <c r="P334" s="132"/>
      <c r="Q334" s="132"/>
      <c r="R334" s="132"/>
      <c r="S334" s="132"/>
      <c r="T334" s="132"/>
      <c r="U334" s="132"/>
    </row>
    <row r="335" spans="2:21" ht="15" customHeight="1">
      <c r="B335" s="279" t="s">
        <v>447</v>
      </c>
      <c r="D335" s="1124" t="s">
        <v>7</v>
      </c>
      <c r="E335" s="1125"/>
      <c r="F335" s="1125"/>
      <c r="G335" s="1125"/>
      <c r="H335" s="1125"/>
      <c r="I335" s="1125"/>
      <c r="J335" s="1125"/>
      <c r="K335" s="283"/>
      <c r="N335" s="132"/>
      <c r="O335" s="132"/>
      <c r="P335" s="132"/>
      <c r="Q335" s="132"/>
      <c r="R335" s="132"/>
      <c r="S335" s="132"/>
      <c r="T335" s="132"/>
      <c r="U335" s="132"/>
    </row>
    <row r="336" spans="2:21">
      <c r="B336" s="279"/>
      <c r="D336" s="1126"/>
      <c r="E336" s="1126"/>
      <c r="F336" s="1126"/>
      <c r="G336" s="1126"/>
      <c r="H336" s="1126"/>
      <c r="I336" s="1126"/>
      <c r="J336" s="1126"/>
      <c r="K336" s="286"/>
      <c r="N336" s="132"/>
      <c r="O336" s="132"/>
      <c r="P336" s="132"/>
      <c r="Q336" s="132"/>
      <c r="R336" s="132"/>
      <c r="S336" s="132"/>
      <c r="T336" s="132"/>
      <c r="U336" s="132"/>
    </row>
    <row r="337" spans="2:21">
      <c r="B337" s="279"/>
      <c r="D337" s="1125"/>
      <c r="E337" s="1125"/>
      <c r="F337" s="1125"/>
      <c r="G337" s="1125"/>
      <c r="H337" s="1125"/>
      <c r="I337" s="1125"/>
      <c r="J337" s="1125"/>
      <c r="K337" s="283"/>
      <c r="N337" s="132"/>
      <c r="O337" s="132"/>
      <c r="P337" s="132"/>
      <c r="Q337" s="132"/>
      <c r="R337" s="132"/>
      <c r="S337" s="132"/>
      <c r="T337" s="132"/>
      <c r="U337" s="132"/>
    </row>
    <row r="338" spans="2:21">
      <c r="B338" s="279"/>
      <c r="N338" s="132"/>
      <c r="O338" s="132"/>
      <c r="P338" s="132"/>
      <c r="Q338" s="132"/>
      <c r="R338" s="132"/>
      <c r="S338" s="132"/>
      <c r="T338" s="132"/>
      <c r="U338" s="132"/>
    </row>
    <row r="339" spans="2:21" ht="15" customHeight="1">
      <c r="B339" s="137" t="s">
        <v>448</v>
      </c>
      <c r="D339" s="1118" t="s">
        <v>793</v>
      </c>
      <c r="E339" s="1119"/>
      <c r="F339" s="1119"/>
      <c r="G339" s="1119"/>
      <c r="H339" s="1119"/>
      <c r="I339" s="1119"/>
      <c r="J339" s="1119"/>
      <c r="K339" s="1119"/>
      <c r="N339" s="132"/>
      <c r="O339" s="132"/>
      <c r="P339" s="132"/>
      <c r="Q339" s="132"/>
      <c r="R339" s="132"/>
      <c r="S339" s="132"/>
      <c r="T339" s="132"/>
      <c r="U339" s="132"/>
    </row>
    <row r="340" spans="2:21">
      <c r="B340" s="279"/>
      <c r="N340" s="132"/>
      <c r="O340" s="132"/>
      <c r="P340" s="132"/>
      <c r="Q340" s="132"/>
      <c r="R340" s="132"/>
      <c r="S340" s="132"/>
      <c r="T340" s="132"/>
      <c r="U340" s="132"/>
    </row>
    <row r="341" spans="2:21">
      <c r="B341" s="137" t="s">
        <v>449</v>
      </c>
      <c r="C341" s="138"/>
      <c r="D341" s="132" t="s">
        <v>150</v>
      </c>
      <c r="E341" s="132"/>
      <c r="F341" s="132"/>
      <c r="G341" s="132"/>
      <c r="H341" s="132"/>
      <c r="I341" s="132"/>
      <c r="J341" s="132"/>
      <c r="K341" s="132"/>
      <c r="L341" s="132"/>
      <c r="N341" s="132"/>
      <c r="O341" s="132"/>
      <c r="P341" s="132"/>
      <c r="Q341" s="132"/>
      <c r="R341" s="132"/>
      <c r="S341" s="132"/>
      <c r="T341" s="132"/>
      <c r="U341" s="132"/>
    </row>
    <row r="342" spans="2:21">
      <c r="B342" s="137"/>
      <c r="C342" s="138"/>
      <c r="D342" s="132" t="s">
        <v>269</v>
      </c>
      <c r="E342" s="132"/>
      <c r="F342" s="132"/>
      <c r="G342" s="132"/>
      <c r="H342" s="132"/>
      <c r="I342" s="132"/>
      <c r="J342" s="132"/>
      <c r="K342" s="132"/>
      <c r="L342" s="132"/>
      <c r="N342" s="132"/>
      <c r="O342" s="132"/>
      <c r="P342" s="132"/>
      <c r="Q342" s="132"/>
      <c r="R342" s="132"/>
      <c r="S342" s="132"/>
      <c r="T342" s="132"/>
      <c r="U342" s="132"/>
    </row>
    <row r="343" spans="2:21">
      <c r="B343" s="137"/>
      <c r="C343" s="138"/>
      <c r="D343" s="132" t="s">
        <v>270</v>
      </c>
      <c r="E343" s="132"/>
      <c r="F343" s="132"/>
      <c r="G343" s="132"/>
      <c r="H343" s="132"/>
      <c r="I343" s="132"/>
      <c r="J343" s="132"/>
      <c r="K343" s="132"/>
      <c r="L343" s="132"/>
      <c r="N343" s="132"/>
      <c r="O343" s="132"/>
      <c r="P343" s="132"/>
      <c r="Q343" s="132"/>
      <c r="R343" s="132"/>
      <c r="S343" s="132"/>
      <c r="T343" s="132"/>
      <c r="U343" s="132"/>
    </row>
    <row r="344" spans="2:21">
      <c r="B344" s="137"/>
      <c r="C344" s="138"/>
      <c r="D344" s="127" t="s">
        <v>271</v>
      </c>
      <c r="E344" s="132"/>
      <c r="F344" s="132"/>
      <c r="G344" s="132"/>
      <c r="H344" s="132"/>
      <c r="I344" s="132"/>
      <c r="J344" s="132"/>
      <c r="K344" s="132"/>
      <c r="L344" s="132"/>
      <c r="N344" s="132"/>
      <c r="O344" s="132"/>
      <c r="P344" s="132"/>
      <c r="Q344" s="132"/>
      <c r="R344" s="132"/>
      <c r="S344" s="132"/>
      <c r="T344" s="132"/>
      <c r="U344" s="132"/>
    </row>
    <row r="345" spans="2:21">
      <c r="B345" s="137"/>
      <c r="C345" s="138"/>
      <c r="E345" s="132"/>
      <c r="F345" s="132"/>
      <c r="G345" s="132"/>
      <c r="H345" s="132"/>
      <c r="I345" s="132"/>
      <c r="J345" s="132"/>
      <c r="K345" s="132"/>
      <c r="L345" s="132"/>
      <c r="N345" s="132"/>
      <c r="O345" s="132"/>
      <c r="P345" s="132"/>
      <c r="Q345" s="132"/>
      <c r="R345" s="132"/>
      <c r="S345" s="132"/>
      <c r="T345" s="132"/>
      <c r="U345" s="132"/>
    </row>
    <row r="346" spans="2:21" ht="25.5" customHeight="1">
      <c r="B346" s="137" t="s">
        <v>450</v>
      </c>
      <c r="C346" s="138"/>
      <c r="D346" s="1123" t="s">
        <v>794</v>
      </c>
      <c r="E346" s="1123"/>
      <c r="F346" s="1123"/>
      <c r="G346" s="1123"/>
      <c r="H346" s="1123"/>
      <c r="I346" s="1123"/>
      <c r="J346" s="1123"/>
      <c r="K346" s="1123"/>
      <c r="L346" s="1123"/>
      <c r="N346" s="132"/>
      <c r="O346" s="132"/>
      <c r="P346" s="132"/>
      <c r="Q346" s="132"/>
      <c r="R346" s="132"/>
      <c r="S346" s="132"/>
      <c r="T346" s="132"/>
      <c r="U346" s="132"/>
    </row>
    <row r="347" spans="2:21">
      <c r="B347" s="137"/>
      <c r="C347" s="138"/>
      <c r="D347" s="1123"/>
      <c r="E347" s="1123"/>
      <c r="F347" s="1123"/>
      <c r="G347" s="1123"/>
      <c r="H347" s="1123"/>
      <c r="I347" s="1123"/>
      <c r="J347" s="1123"/>
      <c r="K347" s="1123"/>
      <c r="L347" s="1123"/>
      <c r="N347" s="132"/>
      <c r="O347" s="132"/>
      <c r="P347" s="132"/>
      <c r="Q347" s="132"/>
      <c r="R347" s="132"/>
      <c r="S347" s="132"/>
      <c r="T347" s="132"/>
      <c r="U347" s="132"/>
    </row>
    <row r="348" spans="2:21">
      <c r="B348" s="137"/>
      <c r="C348" s="138"/>
      <c r="D348" s="1123"/>
      <c r="E348" s="1123"/>
      <c r="F348" s="1123"/>
      <c r="G348" s="1123"/>
      <c r="H348" s="1123"/>
      <c r="I348" s="1123"/>
      <c r="J348" s="1123"/>
      <c r="K348" s="1123"/>
      <c r="L348" s="1123"/>
      <c r="N348" s="132"/>
      <c r="O348" s="132"/>
      <c r="P348" s="132"/>
      <c r="Q348" s="132"/>
      <c r="R348" s="132"/>
      <c r="S348" s="132"/>
      <c r="T348" s="132"/>
      <c r="U348" s="132"/>
    </row>
    <row r="349" spans="2:21">
      <c r="B349" s="137"/>
      <c r="C349" s="138"/>
      <c r="D349" s="210"/>
      <c r="E349" s="132"/>
      <c r="F349" s="132"/>
      <c r="G349" s="132"/>
      <c r="H349" s="132"/>
      <c r="I349" s="132"/>
      <c r="J349" s="132"/>
      <c r="K349" s="132"/>
      <c r="L349" s="132"/>
      <c r="N349" s="132"/>
      <c r="O349" s="132"/>
      <c r="P349" s="132"/>
      <c r="Q349" s="132"/>
      <c r="R349" s="132"/>
      <c r="S349" s="132"/>
      <c r="T349" s="132"/>
      <c r="U349" s="132"/>
    </row>
    <row r="350" spans="2:21">
      <c r="B350" s="197" t="s">
        <v>31</v>
      </c>
      <c r="C350" s="138"/>
      <c r="D350" s="132" t="s">
        <v>586</v>
      </c>
      <c r="E350" s="133"/>
      <c r="F350" s="133"/>
      <c r="G350" s="133"/>
      <c r="H350" s="133"/>
      <c r="I350" s="133"/>
      <c r="J350" s="133"/>
      <c r="N350" s="132"/>
      <c r="O350" s="132"/>
      <c r="P350" s="132"/>
      <c r="Q350" s="132"/>
      <c r="R350" s="132"/>
      <c r="S350" s="132"/>
      <c r="T350" s="132"/>
      <c r="U350" s="132"/>
    </row>
    <row r="351" spans="2:21">
      <c r="B351" s="197"/>
      <c r="C351" s="138"/>
      <c r="D351" s="133"/>
      <c r="E351" s="133"/>
      <c r="F351" s="133"/>
      <c r="G351" s="133"/>
      <c r="H351" s="133"/>
      <c r="I351" s="133"/>
      <c r="J351" s="133"/>
      <c r="N351" s="132"/>
      <c r="O351" s="132"/>
      <c r="P351" s="132"/>
      <c r="Q351" s="132"/>
      <c r="R351" s="132"/>
      <c r="S351" s="132"/>
      <c r="T351" s="132"/>
      <c r="U351" s="132"/>
    </row>
    <row r="352" spans="2:21">
      <c r="B352" s="137" t="s">
        <v>99</v>
      </c>
      <c r="C352" s="138"/>
      <c r="D352" s="132" t="s">
        <v>138</v>
      </c>
      <c r="N352" s="132"/>
      <c r="O352" s="132"/>
      <c r="P352" s="132"/>
      <c r="Q352" s="132"/>
      <c r="R352" s="132"/>
      <c r="S352" s="132"/>
      <c r="T352" s="132"/>
      <c r="U352" s="132"/>
    </row>
    <row r="353" spans="2:21">
      <c r="B353" s="197"/>
      <c r="C353" s="138"/>
      <c r="D353" s="132" t="s">
        <v>18</v>
      </c>
      <c r="N353" s="132"/>
      <c r="O353" s="132"/>
      <c r="P353" s="132"/>
      <c r="Q353" s="132"/>
      <c r="R353" s="132"/>
      <c r="S353" s="132"/>
      <c r="T353" s="132"/>
      <c r="U353" s="132"/>
    </row>
    <row r="354" spans="2:21">
      <c r="B354" s="197"/>
      <c r="C354" s="138"/>
      <c r="D354" s="132" t="s">
        <v>19</v>
      </c>
      <c r="N354" s="132"/>
      <c r="O354" s="132"/>
      <c r="P354" s="132"/>
      <c r="Q354" s="132"/>
      <c r="R354" s="132"/>
      <c r="S354" s="132"/>
      <c r="T354" s="132"/>
      <c r="U354" s="132"/>
    </row>
    <row r="355" spans="2:21">
      <c r="B355" s="197"/>
      <c r="C355" s="138"/>
      <c r="D355" s="132" t="s">
        <v>20</v>
      </c>
      <c r="N355" s="132"/>
      <c r="O355" s="132"/>
      <c r="P355" s="132"/>
      <c r="Q355" s="132"/>
      <c r="R355" s="132"/>
      <c r="S355" s="132"/>
      <c r="T355" s="132"/>
      <c r="U355" s="132"/>
    </row>
    <row r="356" spans="2:21">
      <c r="B356" s="137"/>
      <c r="C356" s="138"/>
      <c r="D356" s="132" t="str">
        <f>"(ln "&amp;B182&amp;") multiplied by (1/1-T) .  If the applicable tax rates are zero enter 0."</f>
        <v>(ln 101) multiplied by (1/1-T) .  If the applicable tax rates are zero enter 0.</v>
      </c>
      <c r="N356" s="132"/>
      <c r="O356" s="132"/>
      <c r="P356" s="132"/>
      <c r="Q356" s="132"/>
      <c r="R356" s="132"/>
      <c r="S356" s="132"/>
      <c r="T356" s="132"/>
      <c r="U356" s="132"/>
    </row>
    <row r="357" spans="2:21">
      <c r="B357" s="287"/>
      <c r="C357" s="132"/>
      <c r="D357" s="132" t="s">
        <v>139</v>
      </c>
      <c r="E357" s="132" t="s">
        <v>140</v>
      </c>
      <c r="F357" s="120">
        <v>0.21</v>
      </c>
      <c r="G357" s="132"/>
      <c r="N357" s="132"/>
      <c r="O357" s="132"/>
      <c r="P357" s="132"/>
      <c r="Q357" s="132"/>
      <c r="R357" s="132"/>
      <c r="S357" s="132"/>
      <c r="T357" s="132"/>
      <c r="U357" s="132"/>
    </row>
    <row r="358" spans="2:21">
      <c r="B358" s="287"/>
      <c r="C358" s="132"/>
      <c r="D358" s="132"/>
      <c r="E358" s="132" t="s">
        <v>141</v>
      </c>
      <c r="F358" s="158">
        <f>+'WS G  State Tax Rate'!F29</f>
        <v>6.5100000000000005E-2</v>
      </c>
      <c r="G358" s="132" t="s">
        <v>293</v>
      </c>
      <c r="N358" s="132"/>
      <c r="O358" s="132"/>
      <c r="P358" s="132"/>
      <c r="Q358" s="132"/>
      <c r="R358" s="132"/>
      <c r="S358" s="132"/>
      <c r="T358" s="132"/>
      <c r="U358" s="132"/>
    </row>
    <row r="359" spans="2:21">
      <c r="B359" s="287"/>
      <c r="C359" s="132"/>
      <c r="D359" s="132"/>
      <c r="E359" s="132" t="s">
        <v>142</v>
      </c>
      <c r="F359" s="120">
        <v>0</v>
      </c>
      <c r="G359" s="132" t="s">
        <v>143</v>
      </c>
      <c r="N359" s="132"/>
      <c r="O359" s="132"/>
      <c r="P359" s="132"/>
      <c r="Q359" s="132"/>
      <c r="R359" s="132"/>
      <c r="S359" s="132"/>
      <c r="T359" s="132"/>
      <c r="U359" s="132"/>
    </row>
    <row r="360" spans="2:21" ht="46.5" customHeight="1">
      <c r="B360" s="197"/>
      <c r="C360" s="138"/>
      <c r="D360" s="1127" t="s">
        <v>596</v>
      </c>
      <c r="E360" s="1127"/>
      <c r="F360" s="1127"/>
      <c r="G360" s="1127"/>
      <c r="H360" s="1127"/>
      <c r="I360" s="1127"/>
      <c r="J360" s="1127"/>
      <c r="M360" s="132"/>
      <c r="N360" s="132"/>
      <c r="O360" s="132"/>
      <c r="P360" s="132"/>
      <c r="Q360" s="132"/>
      <c r="R360" s="132"/>
      <c r="S360" s="132"/>
      <c r="T360" s="132"/>
      <c r="U360" s="132"/>
    </row>
    <row r="361" spans="2:21">
      <c r="B361" s="137" t="s">
        <v>144</v>
      </c>
      <c r="C361" s="138"/>
      <c r="D361" s="132" t="s">
        <v>539</v>
      </c>
      <c r="N361" s="132"/>
      <c r="O361" s="132"/>
      <c r="P361" s="132"/>
      <c r="Q361" s="132"/>
      <c r="R361" s="132"/>
      <c r="S361" s="132"/>
      <c r="T361" s="132"/>
      <c r="U361" s="132"/>
    </row>
    <row r="362" spans="2:21">
      <c r="B362" s="127"/>
      <c r="D362" s="132"/>
      <c r="N362" s="132"/>
      <c r="O362" s="132"/>
      <c r="P362" s="132"/>
      <c r="Q362" s="132"/>
      <c r="R362" s="132"/>
      <c r="S362" s="132"/>
      <c r="T362" s="132"/>
      <c r="U362" s="132"/>
    </row>
    <row r="363" spans="2:21">
      <c r="B363" s="137" t="s">
        <v>145</v>
      </c>
      <c r="C363" s="138"/>
      <c r="D363" s="132" t="s">
        <v>351</v>
      </c>
      <c r="N363" s="132"/>
      <c r="O363" s="132"/>
      <c r="P363" s="132"/>
      <c r="Q363" s="132"/>
      <c r="R363" s="132"/>
      <c r="S363" s="132"/>
      <c r="T363" s="132"/>
      <c r="U363" s="132"/>
    </row>
    <row r="364" spans="2:21">
      <c r="B364" s="137"/>
      <c r="C364" s="138"/>
      <c r="D364" s="132"/>
      <c r="E364" s="132"/>
      <c r="F364" s="132"/>
      <c r="G364" s="132"/>
      <c r="H364" s="132"/>
      <c r="I364" s="132"/>
      <c r="J364" s="132"/>
      <c r="K364" s="132"/>
      <c r="L364" s="132"/>
      <c r="M364" s="132"/>
      <c r="N364" s="132"/>
      <c r="O364" s="132"/>
      <c r="P364" s="132"/>
      <c r="Q364" s="132"/>
      <c r="R364" s="132"/>
      <c r="S364" s="132"/>
      <c r="T364" s="132"/>
      <c r="U364" s="132"/>
    </row>
    <row r="365" spans="2:21">
      <c r="B365" s="137" t="s">
        <v>146</v>
      </c>
      <c r="C365" s="138"/>
      <c r="D365" s="132" t="s">
        <v>616</v>
      </c>
      <c r="E365" s="132"/>
      <c r="F365" s="132"/>
      <c r="G365" s="132"/>
      <c r="H365" s="132"/>
      <c r="I365" s="132"/>
      <c r="J365" s="132"/>
      <c r="K365" s="132"/>
      <c r="L365" s="132"/>
      <c r="M365" s="132"/>
      <c r="N365" s="132"/>
      <c r="O365" s="132"/>
      <c r="P365" s="132"/>
      <c r="Q365" s="132"/>
      <c r="R365" s="132"/>
      <c r="S365" s="132"/>
      <c r="T365" s="132"/>
      <c r="U365" s="132"/>
    </row>
    <row r="366" spans="2:21">
      <c r="B366" s="137"/>
      <c r="C366" s="138"/>
      <c r="D366" s="132"/>
      <c r="E366" s="132"/>
      <c r="F366" s="132"/>
      <c r="G366" s="132"/>
      <c r="H366" s="132"/>
      <c r="I366" s="132"/>
      <c r="J366" s="132"/>
      <c r="K366" s="132"/>
      <c r="L366" s="132"/>
      <c r="M366" s="132"/>
      <c r="N366" s="132"/>
      <c r="O366" s="132"/>
      <c r="P366" s="132"/>
      <c r="Q366" s="132"/>
      <c r="R366" s="132"/>
      <c r="S366" s="132"/>
      <c r="T366" s="132"/>
      <c r="U366" s="132"/>
    </row>
    <row r="367" spans="2:21" ht="15.75" customHeight="1">
      <c r="B367" s="288" t="s">
        <v>147</v>
      </c>
      <c r="C367" s="155"/>
      <c r="D367" s="1128" t="str">
        <f>"Long Term Debt cost rate = long-term interest (Ln " &amp; B239 &amp;")/average long term debt (Ln "&amp;B249&amp;").  Preferred Stock cost rate = preferred dividends (Ln "&amp;B240&amp;")/preferred outstanding (ln "&amp;B250&amp;")."</f>
        <v>Long Term Debt cost rate = long-term interest (Ln 128)/average long term debt (Ln 136).  Preferred Stock cost rate = preferred dividends (Ln 129)/preferred outstanding (ln 137).</v>
      </c>
      <c r="E367" s="1128"/>
      <c r="F367" s="1128"/>
      <c r="G367" s="1128"/>
      <c r="H367" s="1128"/>
      <c r="I367" s="1128"/>
      <c r="J367" s="1128"/>
      <c r="M367"/>
      <c r="N367"/>
      <c r="O367" s="132"/>
      <c r="P367" s="132"/>
      <c r="Q367" s="132"/>
      <c r="R367" s="132"/>
      <c r="S367" s="132"/>
      <c r="T367" s="132"/>
      <c r="U367" s="132"/>
    </row>
    <row r="368" spans="2:21" ht="15.75">
      <c r="B368" s="155"/>
      <c r="C368" s="155"/>
      <c r="D368" s="1128" t="s">
        <v>806</v>
      </c>
      <c r="E368" s="1128"/>
      <c r="F368" s="1128"/>
      <c r="G368" s="1128"/>
      <c r="H368" s="1128"/>
      <c r="I368" s="1128"/>
      <c r="J368" s="1128"/>
      <c r="M368"/>
      <c r="N368"/>
      <c r="O368" s="132"/>
      <c r="P368" s="132"/>
      <c r="Q368" s="132"/>
      <c r="R368" s="132"/>
      <c r="S368" s="132"/>
      <c r="T368" s="132"/>
      <c r="U368" s="132"/>
    </row>
    <row r="369" spans="2:21" ht="15.75">
      <c r="B369" s="155"/>
      <c r="C369" s="155"/>
      <c r="D369" s="1128"/>
      <c r="E369" s="1128"/>
      <c r="F369" s="1128"/>
      <c r="G369" s="1128"/>
      <c r="H369" s="1128"/>
      <c r="I369" s="1128"/>
      <c r="J369" s="1128"/>
      <c r="M369"/>
      <c r="N369"/>
      <c r="O369" s="132"/>
      <c r="P369" s="132"/>
      <c r="Q369" s="132"/>
      <c r="R369" s="132"/>
      <c r="S369" s="132"/>
      <c r="T369" s="132"/>
      <c r="U369" s="132"/>
    </row>
    <row r="370" spans="2:21" ht="95.25" customHeight="1">
      <c r="B370" s="155"/>
      <c r="C370" s="155"/>
      <c r="D370" s="1128"/>
      <c r="E370" s="1128"/>
      <c r="F370" s="1128"/>
      <c r="G370" s="1128"/>
      <c r="H370" s="1128"/>
      <c r="I370" s="1128"/>
      <c r="J370" s="1128"/>
      <c r="M370"/>
      <c r="N370"/>
      <c r="O370" s="132"/>
      <c r="P370" s="132"/>
      <c r="Q370" s="132"/>
      <c r="R370" s="132"/>
      <c r="S370" s="132"/>
      <c r="T370" s="132"/>
      <c r="U370" s="132"/>
    </row>
    <row r="371" spans="2:21" ht="0.75" hidden="1" customHeight="1">
      <c r="B371" s="155"/>
      <c r="C371" s="155"/>
      <c r="D371" s="289"/>
      <c r="E371" s="289"/>
      <c r="F371" s="289"/>
      <c r="G371" s="289"/>
      <c r="H371" s="289"/>
      <c r="I371" s="289"/>
      <c r="J371" s="289"/>
      <c r="M371"/>
      <c r="N371"/>
      <c r="O371" s="132"/>
      <c r="P371" s="132"/>
      <c r="Q371" s="132"/>
      <c r="R371" s="132"/>
      <c r="S371" s="132"/>
      <c r="T371" s="132"/>
      <c r="U371" s="132"/>
    </row>
    <row r="372" spans="2:21" ht="54.75" hidden="1" customHeight="1">
      <c r="B372" s="155"/>
      <c r="C372" s="155"/>
      <c r="D372" s="289"/>
      <c r="E372" s="289"/>
      <c r="F372" s="289"/>
      <c r="G372" s="289"/>
      <c r="H372" s="289"/>
      <c r="I372" s="289"/>
      <c r="J372" s="289"/>
      <c r="M372"/>
      <c r="N372"/>
      <c r="O372" s="132"/>
      <c r="P372" s="132"/>
      <c r="Q372" s="132"/>
      <c r="R372" s="132"/>
      <c r="S372" s="132"/>
      <c r="T372" s="132"/>
      <c r="U372" s="132"/>
    </row>
    <row r="373" spans="2:21" ht="16.5" customHeight="1">
      <c r="B373" s="155"/>
      <c r="C373" s="155"/>
      <c r="D373" s="289"/>
      <c r="E373" s="289"/>
      <c r="F373" s="289"/>
      <c r="G373" s="289"/>
      <c r="H373" s="289"/>
      <c r="I373" s="289"/>
      <c r="J373" s="289"/>
      <c r="M373"/>
      <c r="N373"/>
      <c r="O373" s="132"/>
      <c r="P373" s="132"/>
      <c r="Q373" s="132"/>
      <c r="R373" s="132"/>
      <c r="S373" s="132"/>
      <c r="T373" s="132"/>
      <c r="U373" s="132"/>
    </row>
    <row r="374" spans="2:21" ht="98.25" customHeight="1">
      <c r="B374" s="137" t="s">
        <v>193</v>
      </c>
      <c r="C374" s="155"/>
      <c r="D374" s="1115" t="s">
        <v>758</v>
      </c>
      <c r="E374" s="1116"/>
      <c r="F374" s="1116"/>
      <c r="G374" s="1116"/>
      <c r="H374" s="1116"/>
      <c r="I374" s="1116"/>
      <c r="J374" s="1116"/>
      <c r="M374" s="132"/>
      <c r="N374" s="132"/>
      <c r="O374" s="132"/>
      <c r="P374" s="132"/>
      <c r="Q374" s="132"/>
      <c r="R374" s="132"/>
      <c r="S374" s="132"/>
      <c r="T374" s="132"/>
      <c r="U374" s="132"/>
    </row>
    <row r="375" spans="2:21" ht="15.75">
      <c r="B375" s="137"/>
      <c r="C375" s="155"/>
      <c r="D375" s="289"/>
      <c r="E375" s="290"/>
      <c r="F375" s="290"/>
      <c r="G375" s="290"/>
      <c r="H375" s="290"/>
      <c r="I375" s="290"/>
      <c r="J375" s="290"/>
      <c r="M375" s="132"/>
      <c r="N375" s="132"/>
      <c r="O375" s="132"/>
      <c r="P375" s="132"/>
      <c r="Q375" s="132"/>
      <c r="R375" s="132"/>
      <c r="S375" s="132"/>
      <c r="T375" s="132"/>
      <c r="U375" s="132"/>
    </row>
    <row r="376" spans="2:21">
      <c r="B376" s="137" t="s">
        <v>551</v>
      </c>
      <c r="C376" s="291"/>
      <c r="D376" s="1114" t="s">
        <v>597</v>
      </c>
      <c r="E376" s="1114"/>
      <c r="F376" s="1114"/>
      <c r="G376" s="1114"/>
      <c r="H376" s="1114"/>
      <c r="I376" s="1114"/>
      <c r="J376" s="1114"/>
      <c r="K376" s="292"/>
      <c r="M376" s="132"/>
      <c r="N376" s="132"/>
      <c r="O376" s="132"/>
      <c r="P376" s="132"/>
      <c r="Q376" s="132"/>
      <c r="R376" s="132"/>
      <c r="S376" s="132"/>
      <c r="T376" s="132"/>
      <c r="U376" s="132"/>
    </row>
    <row r="377" spans="2:21">
      <c r="B377" s="137"/>
      <c r="C377" s="138"/>
      <c r="D377" s="127" t="s">
        <v>406</v>
      </c>
      <c r="M377" s="132"/>
      <c r="N377" s="132"/>
      <c r="O377" s="132"/>
      <c r="P377" s="132"/>
      <c r="Q377" s="132"/>
      <c r="R377" s="132"/>
      <c r="S377" s="132"/>
      <c r="T377" s="132"/>
      <c r="U377" s="132"/>
    </row>
    <row r="378" spans="2:21">
      <c r="B378" s="137" t="s">
        <v>598</v>
      </c>
      <c r="C378" s="138"/>
      <c r="D378" s="127" t="s">
        <v>599</v>
      </c>
      <c r="M378" s="132"/>
      <c r="N378" s="132"/>
      <c r="O378" s="132"/>
      <c r="P378" s="132"/>
      <c r="Q378" s="132"/>
      <c r="R378" s="132"/>
      <c r="S378" s="132"/>
      <c r="T378" s="132"/>
      <c r="U378" s="132"/>
    </row>
    <row r="379" spans="2:21">
      <c r="B379" s="137"/>
      <c r="C379" s="138"/>
      <c r="M379" s="132"/>
      <c r="N379" s="132"/>
      <c r="O379" s="132"/>
      <c r="P379" s="132"/>
      <c r="Q379" s="132"/>
      <c r="R379" s="132"/>
      <c r="S379" s="132"/>
      <c r="T379" s="132"/>
      <c r="U379" s="132"/>
    </row>
    <row r="380" spans="2:21" ht="30" customHeight="1">
      <c r="B380" s="137" t="s">
        <v>600</v>
      </c>
      <c r="C380" s="138"/>
      <c r="D380" s="1114" t="s">
        <v>601</v>
      </c>
      <c r="E380" s="1114"/>
      <c r="F380" s="1114"/>
      <c r="G380" s="1114"/>
      <c r="H380" s="1114"/>
      <c r="I380" s="1114"/>
      <c r="J380" s="1114"/>
      <c r="K380" s="1114"/>
      <c r="M380" s="132"/>
      <c r="N380" s="132"/>
      <c r="O380" s="132"/>
      <c r="P380" s="132"/>
      <c r="Q380" s="132"/>
      <c r="R380" s="132"/>
      <c r="S380" s="132"/>
      <c r="T380" s="132"/>
      <c r="U380" s="132"/>
    </row>
    <row r="381" spans="2:21">
      <c r="B381"/>
      <c r="C381"/>
      <c r="D381"/>
      <c r="E381"/>
      <c r="F381"/>
      <c r="G381"/>
      <c r="H381"/>
      <c r="M381" s="132"/>
      <c r="N381" s="132"/>
      <c r="O381" s="132"/>
      <c r="P381" s="132"/>
      <c r="Q381" s="132"/>
      <c r="R381" s="132"/>
      <c r="S381" s="132"/>
      <c r="T381" s="132"/>
      <c r="U381" s="132"/>
    </row>
    <row r="382" spans="2:21" ht="46.5" customHeight="1">
      <c r="B382" s="1" t="s">
        <v>602</v>
      </c>
      <c r="C382"/>
      <c r="D382" s="1114" t="s">
        <v>606</v>
      </c>
      <c r="E382" s="1114"/>
      <c r="F382" s="1114"/>
      <c r="G382" s="1114"/>
      <c r="H382" s="1114"/>
      <c r="I382" s="1114"/>
      <c r="J382" s="1114"/>
      <c r="K382" s="1114"/>
      <c r="M382" s="132"/>
      <c r="N382" s="132"/>
      <c r="O382" s="132"/>
      <c r="P382" s="132"/>
      <c r="Q382" s="132"/>
      <c r="R382" s="132"/>
      <c r="S382" s="132"/>
      <c r="T382" s="132"/>
      <c r="U382" s="132"/>
    </row>
    <row r="383" spans="2:21">
      <c r="B383" s="1"/>
      <c r="C383"/>
      <c r="D383" s="1070"/>
      <c r="E383" s="1070"/>
      <c r="F383" s="1070"/>
      <c r="G383" s="1070"/>
      <c r="H383" s="1070"/>
      <c r="I383" s="1070"/>
      <c r="J383" s="1070"/>
      <c r="K383" s="1070"/>
      <c r="M383" s="132"/>
      <c r="N383" s="132"/>
      <c r="O383" s="132"/>
      <c r="P383" s="132"/>
      <c r="Q383" s="132"/>
      <c r="R383" s="132"/>
      <c r="S383" s="132"/>
      <c r="T383" s="132"/>
      <c r="U383" s="132"/>
    </row>
    <row r="384" spans="2:21">
      <c r="B384" s="910" t="s">
        <v>639</v>
      </c>
      <c r="C384" s="911"/>
      <c r="D384" s="912" t="s">
        <v>640</v>
      </c>
      <c r="E384" s="750"/>
      <c r="F384" s="750"/>
      <c r="G384" s="750"/>
      <c r="H384" s="750"/>
      <c r="M384" s="132"/>
      <c r="N384" s="132"/>
      <c r="O384" s="132"/>
      <c r="P384" s="132"/>
      <c r="Q384" s="132"/>
      <c r="R384" s="132"/>
      <c r="S384" s="132"/>
      <c r="T384" s="132"/>
      <c r="U384" s="132"/>
    </row>
    <row r="385" spans="2:21">
      <c r="B385" s="910"/>
      <c r="C385" s="911"/>
      <c r="D385" s="912"/>
      <c r="E385" s="750"/>
      <c r="F385" s="750"/>
      <c r="G385" s="750"/>
      <c r="H385" s="750"/>
      <c r="M385" s="132"/>
      <c r="N385" s="132"/>
      <c r="O385" s="132"/>
      <c r="P385" s="132"/>
      <c r="Q385" s="132"/>
      <c r="R385" s="132"/>
      <c r="S385" s="132"/>
      <c r="T385" s="132"/>
      <c r="U385" s="132"/>
    </row>
    <row r="386" spans="2:21">
      <c r="B386" s="17" t="s">
        <v>804</v>
      </c>
      <c r="C386"/>
      <c r="D386" s="1113" t="s">
        <v>805</v>
      </c>
      <c r="E386" s="1113"/>
      <c r="F386" s="1113"/>
      <c r="G386" s="1113"/>
      <c r="H386" s="1113"/>
      <c r="I386" s="1113"/>
      <c r="J386" s="1113"/>
      <c r="K386" s="1113"/>
      <c r="M386" s="132"/>
      <c r="N386" s="132"/>
      <c r="O386" s="132"/>
      <c r="P386" s="132"/>
      <c r="Q386" s="132"/>
      <c r="R386" s="132"/>
      <c r="S386" s="132"/>
      <c r="T386" s="132"/>
      <c r="U386" s="132"/>
    </row>
    <row r="387" spans="2:21">
      <c r="B387"/>
      <c r="C387"/>
      <c r="D387" s="1113"/>
      <c r="E387" s="1113"/>
      <c r="F387" s="1113"/>
      <c r="G387" s="1113"/>
      <c r="H387" s="1113"/>
      <c r="I387" s="1113"/>
      <c r="J387" s="1113"/>
      <c r="K387" s="1113"/>
      <c r="M387" s="132"/>
      <c r="N387" s="132"/>
      <c r="O387" s="132"/>
      <c r="P387" s="132"/>
      <c r="Q387" s="132"/>
      <c r="R387" s="132"/>
      <c r="S387" s="132"/>
      <c r="T387" s="132"/>
      <c r="U387" s="132"/>
    </row>
    <row r="388" spans="2:21">
      <c r="B388" s="279"/>
      <c r="M388" s="132"/>
      <c r="N388" s="132"/>
      <c r="O388" s="132"/>
      <c r="P388" s="132"/>
      <c r="Q388" s="132"/>
      <c r="R388" s="132"/>
      <c r="S388" s="132"/>
      <c r="T388" s="132"/>
      <c r="U388" s="132"/>
    </row>
    <row r="389" spans="2:21">
      <c r="H389" s="132"/>
      <c r="I389" s="132"/>
      <c r="J389" s="132"/>
      <c r="K389" s="132"/>
      <c r="L389" s="132"/>
      <c r="M389" s="132"/>
      <c r="N389" s="132"/>
      <c r="O389" s="132"/>
      <c r="P389" s="132"/>
      <c r="Q389" s="132"/>
      <c r="R389" s="132"/>
      <c r="S389" s="132"/>
      <c r="T389" s="132"/>
      <c r="U389" s="132"/>
    </row>
    <row r="390" spans="2:21">
      <c r="B390" s="279"/>
      <c r="H390" s="132"/>
      <c r="K390" s="132"/>
      <c r="L390" s="132"/>
      <c r="M390" s="132"/>
      <c r="N390" s="132"/>
      <c r="O390" s="132"/>
      <c r="P390" s="132"/>
      <c r="Q390" s="132"/>
      <c r="R390" s="132"/>
      <c r="S390" s="132"/>
      <c r="T390" s="132"/>
      <c r="U390" s="132"/>
    </row>
  </sheetData>
  <mergeCells count="23">
    <mergeCell ref="G266:H266"/>
    <mergeCell ref="G247:H247"/>
    <mergeCell ref="D298:K299"/>
    <mergeCell ref="D367:J367"/>
    <mergeCell ref="B21:I22"/>
    <mergeCell ref="I57:J57"/>
    <mergeCell ref="I60:J60"/>
    <mergeCell ref="I127:J127"/>
    <mergeCell ref="I130:J130"/>
    <mergeCell ref="D39:L39"/>
    <mergeCell ref="D386:K387"/>
    <mergeCell ref="D382:K382"/>
    <mergeCell ref="D374:J374"/>
    <mergeCell ref="D322:K324"/>
    <mergeCell ref="D339:K339"/>
    <mergeCell ref="D326:K328"/>
    <mergeCell ref="D376:J376"/>
    <mergeCell ref="D329:J330"/>
    <mergeCell ref="D346:L348"/>
    <mergeCell ref="D335:J337"/>
    <mergeCell ref="D380:K380"/>
    <mergeCell ref="D360:J360"/>
    <mergeCell ref="D368:J370"/>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151"/>
  <sheetViews>
    <sheetView tabSelected="1" zoomScaleNormal="100" workbookViewId="0">
      <selection activeCell="L25" sqref="L25"/>
    </sheetView>
  </sheetViews>
  <sheetFormatPr defaultRowHeight="15"/>
  <cols>
    <col min="1" max="1" width="9.42578125" style="367" customWidth="1"/>
    <col min="2" max="2" width="6.7109375" style="367" customWidth="1"/>
    <col min="3" max="7" width="12.7109375" style="367" customWidth="1"/>
    <col min="8" max="8" width="19.28515625" style="367" customWidth="1"/>
    <col min="9" max="9" width="15" style="367" bestFit="1" customWidth="1"/>
    <col min="10" max="11" width="16.5703125" style="367" bestFit="1" customWidth="1"/>
    <col min="12" max="13" width="22.140625" style="367" bestFit="1" customWidth="1"/>
    <col min="14" max="14" width="8.42578125" style="367" customWidth="1"/>
    <col min="15" max="38" width="12.7109375" style="367" customWidth="1"/>
    <col min="39" max="16384" width="9.140625" style="367"/>
  </cols>
  <sheetData>
    <row r="1" spans="1:22" ht="15.75">
      <c r="A1" s="739" t="s">
        <v>406</v>
      </c>
    </row>
    <row r="2" spans="1:22" ht="15.75">
      <c r="A2" s="739" t="s">
        <v>406</v>
      </c>
    </row>
    <row r="3" spans="1:22">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140" t="str">
        <f>TCOS!$F$5</f>
        <v>AEPTCo subsidiaries in PJM</v>
      </c>
      <c r="K3" s="1140" t="str">
        <f>TCOS!$F$5</f>
        <v>AEPTCo subsidiaries in PJM</v>
      </c>
      <c r="L3" s="17"/>
      <c r="M3" s="17"/>
      <c r="N3" s="17"/>
      <c r="O3" s="17"/>
    </row>
    <row r="4" spans="1:22">
      <c r="A4" s="1141" t="str">
        <f>"Cost of Service Formula Rate Using Actual/Projected FF1 Balances"</f>
        <v>Cost of Service Formula Rate Using Actual/Projected FF1 Balances</v>
      </c>
      <c r="B4" s="1141"/>
      <c r="C4" s="1141"/>
      <c r="D4" s="1141"/>
      <c r="E4" s="1141"/>
      <c r="F4" s="1141"/>
      <c r="G4" s="1141"/>
      <c r="H4" s="1141"/>
      <c r="I4" s="1141"/>
      <c r="J4" s="1141"/>
      <c r="K4" s="1141"/>
      <c r="L4" s="45"/>
      <c r="M4" s="45"/>
      <c r="N4" s="45"/>
      <c r="O4" s="45"/>
    </row>
    <row r="5" spans="1:22">
      <c r="A5" s="1141" t="s">
        <v>22</v>
      </c>
      <c r="B5" s="1141"/>
      <c r="C5" s="1141"/>
      <c r="D5" s="1141"/>
      <c r="E5" s="1141"/>
      <c r="F5" s="1141"/>
      <c r="G5" s="1141"/>
      <c r="H5" s="1141"/>
      <c r="I5" s="1141"/>
      <c r="J5" s="1141"/>
      <c r="K5" s="1141"/>
      <c r="L5" s="44"/>
      <c r="M5" s="44"/>
      <c r="N5" s="44"/>
      <c r="O5" s="44"/>
    </row>
    <row r="6" spans="1:22">
      <c r="A6" s="1151" t="str">
        <f>TCOS!F9</f>
        <v>AEP Appalachian Transmission Company</v>
      </c>
      <c r="B6" s="1151"/>
      <c r="C6" s="1151"/>
      <c r="D6" s="1151"/>
      <c r="E6" s="1151"/>
      <c r="F6" s="1151"/>
      <c r="G6" s="1151"/>
      <c r="H6" s="1151"/>
      <c r="I6" s="1151"/>
      <c r="J6" s="1151"/>
      <c r="K6" s="1151"/>
      <c r="L6" s="2"/>
      <c r="M6" s="2"/>
      <c r="N6" s="2"/>
      <c r="O6" s="2"/>
    </row>
    <row r="8" spans="1:22" ht="18">
      <c r="A8" s="1176"/>
      <c r="B8" s="1176"/>
      <c r="C8" s="1176"/>
      <c r="D8" s="1176"/>
      <c r="E8" s="1176"/>
      <c r="F8" s="1176"/>
      <c r="G8" s="1176"/>
      <c r="H8" s="1176"/>
      <c r="I8" s="1176"/>
      <c r="J8" s="1176"/>
      <c r="K8" s="1176"/>
      <c r="L8" s="368"/>
      <c r="M8" s="369"/>
    </row>
    <row r="9" spans="1:22" ht="18">
      <c r="A9" s="67"/>
      <c r="B9" s="67"/>
      <c r="C9" s="67"/>
      <c r="D9" s="67"/>
      <c r="E9" s="67"/>
      <c r="F9" s="67"/>
      <c r="G9" s="67"/>
      <c r="H9" s="67"/>
      <c r="I9" s="67"/>
      <c r="J9" s="67"/>
      <c r="K9" s="67"/>
      <c r="L9" s="368"/>
      <c r="M9" s="369"/>
    </row>
    <row r="10" spans="1:22" ht="15.75">
      <c r="A10" s="370" t="s">
        <v>459</v>
      </c>
      <c r="B10" s="368"/>
      <c r="C10" s="16"/>
      <c r="D10" s="16"/>
      <c r="E10" s="16"/>
      <c r="F10" s="16"/>
      <c r="G10" s="371"/>
      <c r="H10" s="371"/>
      <c r="I10" s="370" t="s">
        <v>472</v>
      </c>
      <c r="J10" s="370" t="s">
        <v>355</v>
      </c>
      <c r="K10" s="372"/>
      <c r="N10" s="373"/>
      <c r="P10" s="373"/>
      <c r="R10" s="373"/>
      <c r="S10" s="373"/>
      <c r="T10" s="373"/>
      <c r="U10" s="133"/>
      <c r="V10" s="133"/>
    </row>
    <row r="11" spans="1:22" ht="15.75">
      <c r="A11" s="370" t="s">
        <v>397</v>
      </c>
      <c r="B11" s="1177" t="s">
        <v>457</v>
      </c>
      <c r="C11" s="1177"/>
      <c r="D11" s="1177"/>
      <c r="E11" s="1177"/>
      <c r="F11" s="1177"/>
      <c r="G11" s="1177"/>
      <c r="H11" s="1177"/>
      <c r="I11" s="370" t="s">
        <v>473</v>
      </c>
      <c r="J11" s="370" t="s">
        <v>407</v>
      </c>
      <c r="K11" s="370" t="s">
        <v>407</v>
      </c>
      <c r="N11" s="373"/>
      <c r="O11" s="373"/>
      <c r="P11" s="373"/>
      <c r="Q11" s="373"/>
      <c r="R11" s="373"/>
      <c r="S11" s="373"/>
      <c r="T11" s="374"/>
      <c r="U11" s="133"/>
      <c r="V11" s="133"/>
    </row>
    <row r="12" spans="1:22" ht="15.75">
      <c r="A12" s="371"/>
      <c r="B12" s="375"/>
      <c r="C12" s="368"/>
      <c r="D12" s="371"/>
      <c r="E12" s="371"/>
      <c r="F12" s="371"/>
      <c r="G12" s="371"/>
      <c r="H12" s="371"/>
      <c r="I12" s="371"/>
      <c r="J12" s="371"/>
      <c r="K12" s="376"/>
      <c r="N12" s="373"/>
      <c r="O12" s="373"/>
      <c r="P12" s="373"/>
      <c r="Q12" s="373"/>
      <c r="R12" s="373"/>
      <c r="S12" s="373"/>
      <c r="T12" s="374"/>
      <c r="U12" s="133"/>
      <c r="V12" s="133"/>
    </row>
    <row r="13" spans="1:22" s="379" customFormat="1" ht="12.75">
      <c r="A13" s="377">
        <v>1</v>
      </c>
      <c r="B13" s="378" t="s">
        <v>9</v>
      </c>
      <c r="D13" s="380"/>
      <c r="E13" s="380"/>
      <c r="F13" s="381"/>
      <c r="G13" s="380"/>
      <c r="H13" s="380"/>
      <c r="I13" s="393"/>
      <c r="J13" s="382">
        <f>+I13-K13</f>
        <v>0</v>
      </c>
      <c r="K13" s="393"/>
      <c r="N13" s="3"/>
      <c r="O13" s="3"/>
      <c r="P13" s="3"/>
      <c r="Q13" s="3"/>
      <c r="R13" s="3"/>
      <c r="S13" s="3"/>
      <c r="T13" s="47"/>
      <c r="U13" s="3"/>
      <c r="V13" s="3"/>
    </row>
    <row r="14" spans="1:22" s="379" customFormat="1" ht="12.75">
      <c r="A14" s="377"/>
      <c r="B14" s="378"/>
      <c r="D14" s="380"/>
      <c r="E14" s="380"/>
      <c r="F14" s="381"/>
      <c r="G14" s="380"/>
      <c r="H14" s="380"/>
      <c r="I14" s="383"/>
      <c r="J14" s="381"/>
      <c r="K14" s="381"/>
      <c r="N14" s="3"/>
      <c r="O14" s="3"/>
      <c r="P14" s="3"/>
      <c r="Q14" s="3"/>
      <c r="R14" s="3"/>
      <c r="S14" s="3"/>
      <c r="T14" s="47"/>
      <c r="U14" s="3"/>
      <c r="V14" s="3"/>
    </row>
    <row r="15" spans="1:22" s="379" customFormat="1" ht="12.75">
      <c r="A15" s="377">
        <f>+A13+1</f>
        <v>2</v>
      </c>
      <c r="B15" s="378" t="s">
        <v>10</v>
      </c>
      <c r="D15" s="380"/>
      <c r="E15" s="380"/>
      <c r="F15" s="381"/>
      <c r="G15" s="380"/>
      <c r="H15" s="381"/>
      <c r="I15" s="393"/>
      <c r="J15" s="382">
        <f>+I15-K15</f>
        <v>0</v>
      </c>
      <c r="K15" s="393"/>
      <c r="N15" s="3"/>
      <c r="O15" s="3"/>
      <c r="P15" s="3"/>
      <c r="Q15" s="3"/>
      <c r="R15" s="3"/>
      <c r="S15" s="3"/>
      <c r="T15" s="3"/>
      <c r="U15" s="3"/>
      <c r="V15" s="3"/>
    </row>
    <row r="16" spans="1:22" s="379" customFormat="1" ht="12.75">
      <c r="A16" s="377"/>
      <c r="B16" s="378"/>
      <c r="D16" s="380"/>
      <c r="E16" s="380"/>
      <c r="F16" s="381"/>
      <c r="G16" s="380"/>
      <c r="H16" s="381"/>
      <c r="I16" s="381"/>
      <c r="J16" s="381"/>
      <c r="K16" s="384"/>
      <c r="N16" s="3"/>
      <c r="O16" s="3"/>
      <c r="P16" s="3"/>
      <c r="Q16" s="3"/>
      <c r="R16" s="3"/>
      <c r="S16" s="3"/>
      <c r="T16" s="3"/>
      <c r="U16" s="3"/>
      <c r="V16" s="3"/>
    </row>
    <row r="17" spans="1:22" s="379" customFormat="1" ht="12.75">
      <c r="A17" s="377">
        <f>+A15+1</f>
        <v>3</v>
      </c>
      <c r="B17" s="378" t="s">
        <v>11</v>
      </c>
      <c r="D17" s="380"/>
      <c r="E17" s="380"/>
      <c r="F17" s="381"/>
      <c r="G17" s="380"/>
      <c r="H17" s="380"/>
      <c r="I17" s="393"/>
      <c r="J17" s="382">
        <f>+I17-K17</f>
        <v>0</v>
      </c>
      <c r="K17" s="393"/>
      <c r="N17" s="3"/>
      <c r="O17" s="3"/>
      <c r="P17" s="3"/>
      <c r="Q17" s="3"/>
      <c r="R17" s="3"/>
      <c r="S17" s="3"/>
      <c r="T17" s="3"/>
      <c r="U17" s="3"/>
      <c r="V17" s="3"/>
    </row>
    <row r="18" spans="1:22" s="379" customFormat="1" ht="12.75">
      <c r="A18" s="377"/>
      <c r="B18" s="381"/>
      <c r="D18" s="380"/>
      <c r="E18" s="380"/>
      <c r="F18" s="381"/>
      <c r="G18" s="384"/>
      <c r="H18" s="381"/>
      <c r="I18" s="381"/>
      <c r="J18" s="381"/>
      <c r="K18" s="381"/>
      <c r="N18" s="3"/>
      <c r="O18" s="3"/>
      <c r="P18" s="3"/>
      <c r="Q18" s="3"/>
      <c r="R18" s="3"/>
      <c r="S18" s="3"/>
      <c r="T18" s="3"/>
      <c r="U18" s="3"/>
      <c r="V18" s="3"/>
    </row>
    <row r="19" spans="1:22" s="379" customFormat="1" ht="12.75">
      <c r="A19" s="735">
        <v>4</v>
      </c>
      <c r="B19" s="917" t="s">
        <v>763</v>
      </c>
      <c r="C19" s="3"/>
      <c r="D19" s="918"/>
      <c r="E19" s="918"/>
      <c r="F19" s="918"/>
      <c r="G19" s="736"/>
      <c r="H19" s="918"/>
      <c r="I19" s="393"/>
      <c r="J19" s="382">
        <f>+I19-K19</f>
        <v>0</v>
      </c>
      <c r="K19" s="393"/>
      <c r="N19" s="386"/>
      <c r="O19" s="3"/>
      <c r="P19" s="3"/>
      <c r="Q19" s="3"/>
      <c r="R19" s="3"/>
      <c r="S19" s="3"/>
      <c r="T19" s="3"/>
      <c r="U19" s="3"/>
      <c r="V19" s="3"/>
    </row>
    <row r="20" spans="1:22" s="379" customFormat="1" ht="12.75">
      <c r="A20" s="735"/>
      <c r="B20" s="917"/>
      <c r="C20" s="3"/>
      <c r="D20" s="918"/>
      <c r="E20" s="918"/>
      <c r="F20" s="918"/>
      <c r="G20" s="736"/>
      <c r="H20" s="918"/>
      <c r="I20" s="3"/>
      <c r="J20" s="3"/>
      <c r="K20" s="3"/>
      <c r="L20" s="3"/>
      <c r="N20" s="386"/>
      <c r="O20" s="3"/>
      <c r="P20" s="3"/>
      <c r="Q20" s="3"/>
      <c r="R20" s="3"/>
      <c r="S20" s="3"/>
      <c r="T20" s="3"/>
      <c r="U20" s="3"/>
      <c r="V20" s="3"/>
    </row>
    <row r="21" spans="1:22" s="379" customFormat="1" ht="12.75">
      <c r="A21" s="735">
        <v>5</v>
      </c>
      <c r="B21" s="917" t="s">
        <v>764</v>
      </c>
      <c r="C21" s="3"/>
      <c r="D21" s="918"/>
      <c r="E21" s="918"/>
      <c r="F21" s="918"/>
      <c r="G21" s="736"/>
      <c r="H21" s="918"/>
      <c r="I21" s="393">
        <v>21105626.294441998</v>
      </c>
      <c r="J21" s="382">
        <f>+I21-K21</f>
        <v>21105626.294441998</v>
      </c>
      <c r="K21" s="393"/>
      <c r="N21" s="386"/>
      <c r="O21" s="3"/>
      <c r="P21" s="3"/>
      <c r="Q21" s="3"/>
      <c r="R21" s="3"/>
      <c r="S21" s="3"/>
      <c r="T21" s="3"/>
      <c r="U21" s="3"/>
      <c r="V21" s="3"/>
    </row>
    <row r="22" spans="1:22" s="379" customFormat="1" ht="12.75">
      <c r="A22" s="735"/>
      <c r="B22" s="917"/>
      <c r="C22" s="3"/>
      <c r="D22" s="918"/>
      <c r="E22" s="918"/>
      <c r="F22" s="918"/>
      <c r="G22" s="736"/>
      <c r="H22" s="918"/>
      <c r="I22" s="393"/>
      <c r="J22" s="382"/>
      <c r="K22" s="393"/>
      <c r="N22" s="386"/>
      <c r="O22" s="3"/>
      <c r="P22" s="3"/>
      <c r="Q22" s="3"/>
      <c r="R22" s="3"/>
      <c r="S22" s="3"/>
      <c r="T22" s="3"/>
      <c r="U22" s="3"/>
      <c r="V22" s="3"/>
    </row>
    <row r="23" spans="1:22" s="379" customFormat="1" ht="12.75">
      <c r="A23" s="735" t="s">
        <v>623</v>
      </c>
      <c r="B23" s="917" t="s">
        <v>624</v>
      </c>
      <c r="C23" s="3"/>
      <c r="D23" s="918"/>
      <c r="E23" s="918"/>
      <c r="F23" s="918"/>
      <c r="G23" s="736"/>
      <c r="H23" s="918"/>
      <c r="I23" s="737"/>
      <c r="J23" s="738">
        <v>0</v>
      </c>
      <c r="K23" s="737"/>
      <c r="N23" s="386"/>
      <c r="O23" s="3"/>
      <c r="P23" s="3"/>
      <c r="Q23" s="3"/>
      <c r="R23" s="3"/>
      <c r="S23" s="3"/>
      <c r="T23" s="3"/>
      <c r="U23" s="3"/>
      <c r="V23" s="3"/>
    </row>
    <row r="24" spans="1:22" s="379" customFormat="1" ht="12.75">
      <c r="A24" s="735"/>
      <c r="B24" s="917"/>
      <c r="C24" s="3"/>
      <c r="D24" s="918"/>
      <c r="E24" s="918"/>
      <c r="F24" s="918"/>
      <c r="G24" s="736"/>
      <c r="H24" s="918"/>
      <c r="I24" s="737"/>
      <c r="J24" s="738"/>
      <c r="K24" s="737"/>
      <c r="N24" s="386"/>
      <c r="O24" s="3"/>
      <c r="P24" s="3"/>
      <c r="Q24" s="3"/>
      <c r="R24" s="3"/>
      <c r="S24" s="3"/>
      <c r="T24" s="3"/>
      <c r="U24" s="3"/>
      <c r="V24" s="3"/>
    </row>
    <row r="25" spans="1:22" s="379" customFormat="1" ht="12.75">
      <c r="A25" s="735" t="s">
        <v>625</v>
      </c>
      <c r="B25" s="917" t="s">
        <v>626</v>
      </c>
      <c r="C25" s="3"/>
      <c r="D25" s="918"/>
      <c r="E25" s="918"/>
      <c r="F25" s="918"/>
      <c r="G25" s="736"/>
      <c r="H25" s="918"/>
      <c r="I25" s="737"/>
      <c r="J25" s="738">
        <v>0</v>
      </c>
      <c r="K25" s="737"/>
      <c r="N25" s="386"/>
      <c r="O25" s="3"/>
      <c r="P25" s="3"/>
      <c r="Q25" s="3"/>
      <c r="R25" s="3"/>
      <c r="S25" s="3"/>
      <c r="T25" s="3"/>
      <c r="U25" s="3"/>
      <c r="V25" s="3"/>
    </row>
    <row r="26" spans="1:22" s="379" customFormat="1" ht="12.75">
      <c r="A26" s="377"/>
      <c r="B26" s="385"/>
      <c r="D26" s="380"/>
      <c r="E26" s="380"/>
      <c r="F26" s="381"/>
      <c r="G26" s="384"/>
      <c r="H26" s="381"/>
      <c r="I26" s="3"/>
      <c r="J26" s="3"/>
      <c r="K26" s="3"/>
      <c r="N26" s="3"/>
      <c r="O26" s="3"/>
      <c r="P26" s="3"/>
      <c r="Q26" s="3"/>
      <c r="R26" s="3"/>
      <c r="S26" s="3"/>
      <c r="T26" s="3"/>
      <c r="U26" s="3"/>
      <c r="V26" s="3"/>
    </row>
    <row r="27" spans="1:22" s="379" customFormat="1" ht="12.75">
      <c r="A27" s="377">
        <f>+A21+1</f>
        <v>6</v>
      </c>
      <c r="B27" s="385" t="s">
        <v>327</v>
      </c>
      <c r="D27" s="380"/>
      <c r="E27" s="380"/>
      <c r="F27" s="381"/>
      <c r="G27" s="384"/>
      <c r="H27" s="381"/>
      <c r="I27" s="387">
        <f>+I21+I19+I17+I15+I13+I23+I25</f>
        <v>21105626.294441998</v>
      </c>
      <c r="J27" s="387">
        <f>+J21+J19+J17+J15+J13+J23+J25</f>
        <v>21105626.294441998</v>
      </c>
      <c r="K27" s="387">
        <f>+K21+K19+K17+K15+K13+K23+K25</f>
        <v>0</v>
      </c>
      <c r="N27" s="3"/>
      <c r="O27" s="3"/>
      <c r="P27" s="3"/>
      <c r="Q27" s="3"/>
      <c r="R27" s="3"/>
      <c r="S27" s="3"/>
      <c r="T27" s="3"/>
      <c r="U27" s="3"/>
      <c r="V27" s="3"/>
    </row>
    <row r="28" spans="1:22" s="379" customFormat="1" ht="12.75">
      <c r="A28" s="377"/>
      <c r="B28" s="385"/>
      <c r="D28" s="380"/>
      <c r="E28" s="380"/>
      <c r="F28" s="381"/>
      <c r="G28" s="384"/>
      <c r="H28" s="381"/>
      <c r="I28" s="3"/>
      <c r="J28" s="3"/>
      <c r="K28" s="3"/>
      <c r="N28" s="3"/>
      <c r="O28" s="3"/>
      <c r="P28" s="3"/>
      <c r="Q28" s="3"/>
      <c r="R28" s="3"/>
      <c r="S28" s="3"/>
      <c r="T28" s="3"/>
      <c r="U28" s="3"/>
      <c r="V28" s="3"/>
    </row>
    <row r="29" spans="1:22" s="379" customFormat="1" ht="12.75">
      <c r="A29" s="377">
        <f>+A27+1</f>
        <v>7</v>
      </c>
      <c r="B29" s="1175" t="s">
        <v>12</v>
      </c>
      <c r="C29" s="1125"/>
      <c r="D29" s="1125"/>
      <c r="E29" s="1125"/>
      <c r="F29" s="1125"/>
      <c r="G29" s="1125"/>
      <c r="H29" s="381"/>
      <c r="I29" s="393"/>
      <c r="J29" s="382">
        <f>+I29-K29</f>
        <v>0</v>
      </c>
      <c r="K29" s="393"/>
      <c r="N29" s="3"/>
      <c r="O29" s="3"/>
      <c r="P29" s="3"/>
      <c r="Q29" s="3"/>
      <c r="R29" s="3"/>
      <c r="S29" s="3"/>
      <c r="T29" s="3"/>
      <c r="U29" s="3"/>
      <c r="V29" s="3"/>
    </row>
    <row r="30" spans="1:22" s="379" customFormat="1" ht="12.75">
      <c r="A30" s="377"/>
      <c r="B30" s="1125"/>
      <c r="C30" s="1125"/>
      <c r="D30" s="1125"/>
      <c r="E30" s="1125"/>
      <c r="F30" s="1125"/>
      <c r="G30" s="1125"/>
      <c r="H30" s="381"/>
      <c r="I30" s="382"/>
      <c r="J30" s="381"/>
      <c r="K30" s="382"/>
      <c r="N30" s="3"/>
      <c r="O30" s="3"/>
      <c r="P30" s="3"/>
      <c r="Q30" s="3"/>
      <c r="R30" s="3"/>
      <c r="S30" s="3"/>
      <c r="T30" s="3"/>
      <c r="U30" s="3"/>
      <c r="V30" s="3"/>
    </row>
    <row r="31" spans="1:22" s="379" customFormat="1" ht="12.75">
      <c r="A31" s="377">
        <f>+A29+1</f>
        <v>8</v>
      </c>
      <c r="B31" s="385" t="s">
        <v>497</v>
      </c>
      <c r="D31" s="380"/>
      <c r="E31" s="380"/>
      <c r="F31" s="381"/>
      <c r="G31" s="384"/>
      <c r="H31" s="381"/>
      <c r="I31" s="388">
        <f>+I27+I29</f>
        <v>21105626.294441998</v>
      </c>
      <c r="J31" s="388">
        <f>+J27+J29</f>
        <v>21105626.294441998</v>
      </c>
      <c r="K31" s="388">
        <f>+K27+K29</f>
        <v>0</v>
      </c>
      <c r="N31" s="3"/>
      <c r="O31" s="3"/>
      <c r="P31" s="3"/>
      <c r="Q31" s="3"/>
      <c r="R31" s="3"/>
      <c r="S31" s="3"/>
      <c r="T31" s="3"/>
      <c r="U31" s="3"/>
      <c r="V31" s="3"/>
    </row>
    <row r="32" spans="1:22" s="379" customFormat="1" ht="12.75">
      <c r="A32" s="377"/>
      <c r="B32" s="385"/>
      <c r="D32" s="380"/>
      <c r="E32" s="380"/>
      <c r="F32" s="381"/>
      <c r="G32" s="384"/>
      <c r="H32" s="381"/>
      <c r="I32" s="382"/>
      <c r="J32" s="382"/>
      <c r="K32" s="382"/>
      <c r="N32" s="3"/>
      <c r="O32" s="3"/>
      <c r="P32" s="3"/>
      <c r="Q32" s="3"/>
      <c r="R32" s="3"/>
      <c r="S32" s="3"/>
      <c r="T32" s="3"/>
      <c r="U32" s="3"/>
      <c r="V32" s="3"/>
    </row>
    <row r="33" spans="1:22" s="379" customFormat="1" ht="12.75">
      <c r="A33" s="377">
        <v>9</v>
      </c>
      <c r="B33" s="378" t="s">
        <v>547</v>
      </c>
      <c r="D33" s="380"/>
      <c r="E33" s="380"/>
      <c r="F33" s="381"/>
      <c r="G33" s="384"/>
      <c r="H33" s="381"/>
      <c r="I33" s="382"/>
      <c r="J33" s="382"/>
      <c r="K33" s="393"/>
      <c r="N33" s="3"/>
      <c r="O33" s="3"/>
      <c r="P33" s="3"/>
      <c r="Q33" s="3"/>
      <c r="R33" s="3"/>
      <c r="S33" s="3"/>
      <c r="T33" s="3"/>
      <c r="U33" s="3"/>
      <c r="V33" s="3"/>
    </row>
    <row r="34" spans="1:22" s="379" customFormat="1" ht="12.75">
      <c r="A34" s="377"/>
      <c r="B34" s="385"/>
      <c r="D34" s="380"/>
      <c r="E34" s="380"/>
      <c r="F34" s="381"/>
      <c r="G34" s="384"/>
      <c r="H34" s="381"/>
      <c r="I34" s="382"/>
      <c r="J34" s="382"/>
      <c r="K34" s="382"/>
      <c r="N34" s="3"/>
      <c r="O34" s="3"/>
      <c r="P34" s="3"/>
      <c r="Q34" s="3"/>
      <c r="R34" s="3"/>
      <c r="S34" s="3"/>
      <c r="T34" s="3"/>
      <c r="U34" s="3"/>
      <c r="V34" s="3"/>
    </row>
    <row r="35" spans="1:22" ht="15.75">
      <c r="A35" s="389"/>
      <c r="C35" s="375"/>
      <c r="D35" s="368"/>
      <c r="E35" s="368"/>
      <c r="F35" s="371"/>
      <c r="G35" s="390"/>
      <c r="H35" s="371"/>
      <c r="I35" s="391"/>
      <c r="J35" s="371"/>
      <c r="K35" s="371"/>
      <c r="L35" s="371"/>
      <c r="M35" s="391"/>
      <c r="N35" s="133"/>
      <c r="O35" s="16"/>
      <c r="P35" s="16"/>
      <c r="Q35" s="16"/>
      <c r="R35" s="16"/>
      <c r="S35" s="133"/>
      <c r="T35" s="133"/>
      <c r="U35" s="133"/>
      <c r="V35" s="133"/>
    </row>
    <row r="36" spans="1:22" s="379" customFormat="1" ht="12.75" customHeight="1">
      <c r="A36" s="41" t="s">
        <v>287</v>
      </c>
      <c r="B36" s="1174"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Appalachian Transmission Company's general ledger. The functional amounts identified as transmission revenue also come from the general ledger. </v>
      </c>
      <c r="C36" s="1174"/>
      <c r="D36" s="1174"/>
      <c r="E36" s="1174"/>
      <c r="F36" s="1174"/>
      <c r="G36" s="1174"/>
      <c r="H36" s="1174"/>
      <c r="I36" s="1174"/>
      <c r="J36" s="1174"/>
      <c r="K36" s="3"/>
      <c r="L36" s="3"/>
      <c r="M36" s="3"/>
      <c r="N36" s="3"/>
      <c r="O36" s="3"/>
      <c r="P36" s="3"/>
      <c r="Q36" s="3"/>
      <c r="R36" s="3"/>
      <c r="S36" s="3"/>
      <c r="T36" s="47"/>
      <c r="U36" s="3"/>
      <c r="V36" s="3"/>
    </row>
    <row r="37" spans="1:22" s="379" customFormat="1" ht="12.75">
      <c r="A37" s="3"/>
      <c r="B37" s="1174"/>
      <c r="C37" s="1174"/>
      <c r="D37" s="1174"/>
      <c r="E37" s="1174"/>
      <c r="F37" s="1174"/>
      <c r="G37" s="1174"/>
      <c r="H37" s="1174"/>
      <c r="I37" s="1174"/>
      <c r="J37" s="1174"/>
      <c r="K37" s="3"/>
      <c r="L37" s="3"/>
      <c r="M37" s="70"/>
      <c r="N37" s="70"/>
      <c r="O37" s="70"/>
      <c r="P37" s="70"/>
      <c r="Q37" s="70"/>
      <c r="R37" s="3"/>
      <c r="S37" s="3"/>
      <c r="T37" s="3"/>
      <c r="U37" s="3"/>
      <c r="V37" s="3"/>
    </row>
    <row r="38" spans="1:22" s="379" customFormat="1" ht="12.75">
      <c r="A38" s="3" t="s">
        <v>627</v>
      </c>
      <c r="B38" s="919" t="s">
        <v>628</v>
      </c>
      <c r="C38" s="734"/>
      <c r="D38" s="734"/>
      <c r="E38" s="734"/>
      <c r="F38" s="734"/>
      <c r="G38" s="734"/>
      <c r="H38" s="734"/>
      <c r="I38" s="734"/>
      <c r="J38" s="734"/>
      <c r="K38" s="70"/>
      <c r="L38" s="3"/>
      <c r="M38" s="70"/>
      <c r="N38" s="70"/>
      <c r="O38" s="70"/>
      <c r="P38" s="70"/>
      <c r="Q38" s="70"/>
      <c r="R38" s="3"/>
      <c r="S38" s="3"/>
      <c r="T38" s="3"/>
      <c r="U38" s="3"/>
      <c r="V38" s="3"/>
    </row>
    <row r="39" spans="1:22" ht="15.75">
      <c r="A39" s="133"/>
      <c r="B39" s="133"/>
      <c r="E39" s="392"/>
      <c r="F39" s="392"/>
      <c r="G39" s="392"/>
      <c r="H39" s="392"/>
      <c r="I39" s="392"/>
      <c r="J39" s="392"/>
      <c r="K39" s="392"/>
      <c r="L39" s="133"/>
      <c r="M39" s="392"/>
      <c r="N39" s="392"/>
      <c r="O39" s="392"/>
      <c r="P39" s="392"/>
      <c r="Q39" s="392"/>
      <c r="R39" s="133"/>
      <c r="S39" s="133"/>
      <c r="T39" s="133"/>
      <c r="U39" s="133"/>
      <c r="V39" s="133"/>
    </row>
    <row r="40" spans="1:22" ht="15.75">
      <c r="A40" s="133"/>
      <c r="B40" s="133"/>
      <c r="E40" s="392"/>
      <c r="F40" s="392"/>
      <c r="G40" s="392"/>
      <c r="H40" s="392"/>
      <c r="I40" s="392"/>
      <c r="J40" s="392"/>
      <c r="K40" s="392"/>
      <c r="L40" s="133"/>
      <c r="M40" s="392"/>
      <c r="N40" s="392"/>
      <c r="O40" s="392"/>
      <c r="P40" s="392"/>
      <c r="Q40" s="392"/>
      <c r="R40" s="133"/>
      <c r="S40" s="133"/>
      <c r="T40" s="133"/>
      <c r="U40" s="133"/>
      <c r="V40" s="133"/>
    </row>
    <row r="41" spans="1:22" ht="15.75">
      <c r="A41" s="133"/>
      <c r="B41" s="133"/>
      <c r="E41" s="392"/>
      <c r="F41" s="392"/>
      <c r="G41" s="392"/>
      <c r="H41" s="392"/>
      <c r="I41" s="392"/>
      <c r="J41" s="392"/>
      <c r="K41" s="392"/>
      <c r="L41" s="133"/>
      <c r="M41" s="392"/>
      <c r="N41" s="392"/>
      <c r="O41" s="392"/>
      <c r="P41" s="392"/>
      <c r="Q41" s="392"/>
      <c r="R41" s="133"/>
      <c r="S41" s="133"/>
      <c r="T41" s="133"/>
      <c r="U41" s="133"/>
      <c r="V41" s="133"/>
    </row>
    <row r="42" spans="1:22" ht="15.75">
      <c r="A42" s="133"/>
      <c r="B42" s="133"/>
      <c r="E42" s="392"/>
      <c r="F42" s="392"/>
      <c r="G42" s="392"/>
      <c r="H42" s="392"/>
      <c r="I42" s="392"/>
      <c r="J42" s="392"/>
      <c r="K42" s="392"/>
      <c r="L42" s="133"/>
      <c r="M42" s="392"/>
      <c r="N42" s="392"/>
      <c r="O42" s="392"/>
      <c r="P42" s="392"/>
      <c r="Q42" s="392"/>
      <c r="R42" s="133"/>
      <c r="S42" s="133"/>
      <c r="T42" s="133"/>
      <c r="U42" s="133"/>
      <c r="V42" s="133"/>
    </row>
    <row r="43" spans="1:22" ht="15.75">
      <c r="A43" s="133"/>
      <c r="B43" s="133"/>
      <c r="E43" s="392"/>
      <c r="F43" s="392"/>
      <c r="G43" s="392"/>
      <c r="H43" s="392"/>
      <c r="I43" s="392"/>
      <c r="J43" s="392"/>
      <c r="K43" s="392"/>
      <c r="L43" s="133"/>
      <c r="M43" s="392"/>
      <c r="N43" s="392"/>
      <c r="O43" s="392"/>
      <c r="P43" s="392"/>
      <c r="Q43" s="392"/>
      <c r="R43" s="133"/>
      <c r="S43" s="133"/>
      <c r="T43" s="133"/>
      <c r="U43" s="133"/>
      <c r="V43" s="133"/>
    </row>
    <row r="44" spans="1:22" ht="15.75">
      <c r="A44" s="133"/>
      <c r="B44" s="133"/>
      <c r="E44" s="392"/>
      <c r="F44" s="392"/>
      <c r="G44" s="392"/>
      <c r="H44" s="392"/>
      <c r="I44" s="392"/>
      <c r="J44" s="392"/>
      <c r="K44" s="392"/>
      <c r="L44" s="133"/>
      <c r="M44" s="392"/>
      <c r="N44" s="392"/>
      <c r="O44" s="392"/>
      <c r="P44" s="392"/>
      <c r="Q44" s="392"/>
      <c r="R44" s="133"/>
      <c r="S44" s="133"/>
      <c r="T44" s="133"/>
      <c r="U44" s="133"/>
      <c r="V44" s="133"/>
    </row>
    <row r="45" spans="1:22" ht="15.75">
      <c r="A45" s="133"/>
      <c r="B45" s="133"/>
      <c r="E45" s="392"/>
      <c r="F45" s="392"/>
      <c r="G45" s="392"/>
      <c r="H45" s="392"/>
      <c r="I45" s="392"/>
      <c r="J45" s="392"/>
      <c r="K45" s="392"/>
      <c r="L45" s="133"/>
      <c r="M45" s="392"/>
      <c r="N45" s="392"/>
      <c r="O45" s="392"/>
      <c r="P45" s="392"/>
      <c r="Q45" s="392"/>
      <c r="R45" s="133"/>
      <c r="S45" s="133"/>
      <c r="T45" s="133"/>
      <c r="U45" s="133"/>
      <c r="V45" s="133"/>
    </row>
    <row r="46" spans="1:22" ht="15.75">
      <c r="A46" s="133"/>
      <c r="B46" s="133"/>
      <c r="E46" s="392"/>
      <c r="F46" s="392"/>
      <c r="G46" s="392"/>
      <c r="H46" s="392"/>
      <c r="I46" s="392"/>
      <c r="J46" s="392"/>
      <c r="K46" s="392"/>
      <c r="L46" s="133"/>
      <c r="M46" s="392"/>
      <c r="N46" s="392"/>
      <c r="O46" s="392"/>
      <c r="P46" s="392"/>
      <c r="Q46" s="392"/>
      <c r="R46" s="133"/>
      <c r="S46" s="133"/>
      <c r="T46" s="133"/>
      <c r="U46" s="133"/>
      <c r="V46" s="133"/>
    </row>
    <row r="47" spans="1:22" ht="15.75">
      <c r="A47" s="133"/>
      <c r="B47" s="133"/>
      <c r="E47" s="392"/>
      <c r="F47" s="392"/>
      <c r="G47" s="392"/>
      <c r="H47" s="392"/>
      <c r="I47" s="392"/>
      <c r="J47" s="392"/>
      <c r="K47" s="392"/>
      <c r="L47" s="133"/>
      <c r="M47" s="392"/>
      <c r="N47" s="392"/>
      <c r="O47" s="392"/>
      <c r="P47" s="392"/>
      <c r="Q47" s="392"/>
      <c r="R47" s="133"/>
      <c r="S47" s="133"/>
      <c r="T47" s="133"/>
      <c r="U47" s="133"/>
      <c r="V47" s="133"/>
    </row>
    <row r="48" spans="1:22" ht="15.75">
      <c r="A48" s="133"/>
      <c r="B48" s="133"/>
      <c r="E48" s="392"/>
      <c r="F48" s="392"/>
      <c r="G48" s="392"/>
      <c r="H48" s="392"/>
      <c r="I48" s="392"/>
      <c r="J48" s="392"/>
      <c r="K48" s="392"/>
      <c r="L48" s="133"/>
      <c r="M48" s="392"/>
      <c r="N48" s="392"/>
      <c r="O48" s="392"/>
      <c r="P48" s="392"/>
      <c r="Q48" s="392"/>
      <c r="R48" s="133"/>
      <c r="S48" s="133"/>
      <c r="T48" s="133"/>
      <c r="U48" s="133"/>
      <c r="V48" s="133"/>
    </row>
    <row r="49" spans="1:22" ht="15.75">
      <c r="I49" s="392"/>
      <c r="J49" s="392"/>
      <c r="K49" s="392"/>
      <c r="L49" s="133"/>
      <c r="M49" s="392"/>
      <c r="N49" s="392"/>
      <c r="O49" s="392"/>
      <c r="P49" s="392"/>
      <c r="Q49" s="392"/>
      <c r="R49" s="133"/>
      <c r="S49" s="133"/>
      <c r="T49" s="133"/>
      <c r="U49" s="133"/>
      <c r="V49" s="133"/>
    </row>
    <row r="50" spans="1:22" ht="15.75">
      <c r="A50" s="133"/>
      <c r="B50" s="133"/>
      <c r="E50" s="392"/>
      <c r="F50" s="392"/>
      <c r="G50" s="392"/>
      <c r="H50" s="392"/>
      <c r="I50" s="392"/>
      <c r="J50" s="392"/>
      <c r="K50" s="392"/>
      <c r="L50" s="133"/>
      <c r="M50" s="392"/>
      <c r="N50" s="392"/>
      <c r="O50" s="392"/>
      <c r="P50" s="392"/>
      <c r="Q50" s="392"/>
      <c r="R50" s="133"/>
      <c r="S50" s="133"/>
      <c r="T50" s="133"/>
      <c r="U50" s="133"/>
      <c r="V50" s="133"/>
    </row>
    <row r="51" spans="1:22" ht="15.75">
      <c r="A51" s="133"/>
      <c r="B51" s="133"/>
      <c r="E51" s="392"/>
      <c r="F51" s="392"/>
      <c r="G51" s="392"/>
      <c r="H51" s="392"/>
      <c r="I51" s="392"/>
      <c r="J51" s="392"/>
      <c r="K51" s="392"/>
      <c r="L51" s="133"/>
      <c r="M51" s="392"/>
      <c r="N51" s="392"/>
      <c r="O51" s="392"/>
      <c r="P51" s="392"/>
      <c r="Q51" s="392"/>
      <c r="R51" s="133"/>
      <c r="S51" s="133"/>
      <c r="T51" s="133"/>
      <c r="U51" s="133"/>
      <c r="V51" s="133"/>
    </row>
    <row r="52" spans="1:22" ht="15.75">
      <c r="A52" s="133"/>
      <c r="B52" s="133"/>
      <c r="E52" s="392"/>
      <c r="F52" s="392"/>
      <c r="G52" s="392"/>
      <c r="H52" s="392"/>
      <c r="I52" s="392"/>
      <c r="J52" s="392"/>
      <c r="K52" s="392"/>
      <c r="L52" s="133"/>
      <c r="M52" s="392"/>
      <c r="N52" s="392"/>
      <c r="O52" s="392"/>
      <c r="P52" s="392"/>
      <c r="Q52" s="392"/>
      <c r="R52" s="133"/>
      <c r="S52" s="133"/>
      <c r="T52" s="133"/>
      <c r="U52" s="133"/>
      <c r="V52" s="133"/>
    </row>
    <row r="53" spans="1:22" ht="15.75">
      <c r="A53" s="133"/>
      <c r="B53" s="133"/>
      <c r="E53" s="392"/>
      <c r="F53" s="392"/>
      <c r="G53" s="392"/>
      <c r="H53" s="392"/>
      <c r="I53" s="392"/>
      <c r="J53" s="392"/>
      <c r="K53" s="392"/>
      <c r="L53" s="133"/>
      <c r="M53" s="392"/>
      <c r="N53" s="392"/>
      <c r="O53" s="392"/>
      <c r="P53" s="392"/>
      <c r="Q53" s="392"/>
      <c r="R53" s="133"/>
      <c r="S53" s="133"/>
      <c r="T53" s="133"/>
      <c r="U53" s="133"/>
      <c r="V53" s="133"/>
    </row>
    <row r="54" spans="1:22" ht="15.75">
      <c r="A54" s="133"/>
      <c r="B54" s="133"/>
      <c r="E54" s="392"/>
      <c r="F54" s="392"/>
      <c r="G54" s="392"/>
      <c r="H54" s="392"/>
      <c r="I54" s="392"/>
      <c r="J54" s="392"/>
      <c r="K54" s="392"/>
      <c r="L54" s="133"/>
      <c r="M54" s="392"/>
      <c r="N54" s="392"/>
      <c r="O54" s="392"/>
      <c r="P54" s="392"/>
      <c r="Q54" s="392"/>
      <c r="R54" s="133"/>
      <c r="S54" s="133"/>
      <c r="T54" s="133"/>
      <c r="U54" s="133"/>
      <c r="V54" s="133"/>
    </row>
    <row r="55" spans="1:22" ht="15.75">
      <c r="A55" s="133"/>
      <c r="B55" s="133"/>
      <c r="E55" s="392"/>
      <c r="F55" s="392"/>
      <c r="G55" s="392"/>
      <c r="H55" s="392"/>
      <c r="I55" s="392"/>
      <c r="J55" s="392"/>
      <c r="K55" s="392"/>
      <c r="L55" s="133"/>
      <c r="M55" s="392"/>
      <c r="N55" s="392"/>
      <c r="O55" s="392"/>
      <c r="P55" s="392"/>
      <c r="Q55" s="392"/>
      <c r="R55" s="133"/>
      <c r="S55" s="133"/>
      <c r="T55" s="133"/>
      <c r="U55" s="133"/>
      <c r="V55" s="133"/>
    </row>
    <row r="56" spans="1:22" ht="15.75">
      <c r="A56" s="133"/>
      <c r="B56" s="133"/>
      <c r="E56" s="392"/>
      <c r="F56" s="392"/>
      <c r="G56" s="392"/>
      <c r="H56" s="392"/>
      <c r="I56" s="392"/>
      <c r="J56" s="392"/>
      <c r="K56" s="392"/>
      <c r="L56" s="133"/>
      <c r="M56" s="392"/>
      <c r="N56" s="392"/>
      <c r="O56" s="392"/>
      <c r="P56" s="392"/>
      <c r="Q56" s="392"/>
      <c r="R56" s="133"/>
      <c r="S56" s="133"/>
      <c r="T56" s="133"/>
      <c r="U56" s="133"/>
      <c r="V56" s="133"/>
    </row>
    <row r="57" spans="1:22" ht="15.75">
      <c r="A57" s="133"/>
      <c r="B57" s="133"/>
      <c r="E57" s="392"/>
      <c r="F57" s="392"/>
      <c r="G57" s="392"/>
      <c r="H57" s="392"/>
      <c r="I57" s="392"/>
      <c r="J57" s="392"/>
      <c r="K57" s="392"/>
      <c r="L57" s="133"/>
      <c r="M57" s="392"/>
      <c r="N57" s="392"/>
      <c r="O57" s="392"/>
      <c r="P57" s="392"/>
      <c r="Q57" s="392"/>
      <c r="R57" s="133"/>
      <c r="S57" s="133"/>
      <c r="T57" s="133"/>
      <c r="U57" s="133"/>
      <c r="V57" s="133"/>
    </row>
    <row r="58" spans="1:22" ht="15.75">
      <c r="A58" s="133"/>
      <c r="B58" s="133"/>
      <c r="E58" s="392"/>
      <c r="F58" s="392"/>
      <c r="G58" s="392"/>
      <c r="H58" s="392"/>
      <c r="I58" s="392"/>
      <c r="J58" s="392"/>
      <c r="K58" s="392"/>
      <c r="L58" s="133"/>
      <c r="M58" s="392"/>
      <c r="N58" s="392"/>
      <c r="O58" s="392"/>
      <c r="P58" s="392"/>
      <c r="Q58" s="392"/>
      <c r="R58" s="133"/>
      <c r="S58" s="133"/>
      <c r="T58" s="133"/>
      <c r="U58" s="133"/>
      <c r="V58" s="133"/>
    </row>
    <row r="59" spans="1:22" ht="15.75">
      <c r="A59" s="133"/>
      <c r="B59" s="133"/>
      <c r="E59" s="392"/>
      <c r="F59" s="392"/>
      <c r="G59" s="392"/>
      <c r="H59" s="392"/>
      <c r="I59" s="392"/>
      <c r="J59" s="392"/>
      <c r="K59" s="392"/>
      <c r="L59" s="133"/>
      <c r="M59" s="392"/>
      <c r="N59" s="392"/>
      <c r="O59" s="392"/>
      <c r="P59" s="392"/>
      <c r="Q59" s="392"/>
      <c r="R59" s="133"/>
      <c r="S59" s="133"/>
      <c r="T59" s="133"/>
      <c r="U59" s="133"/>
      <c r="V59" s="133"/>
    </row>
    <row r="60" spans="1:22" ht="15.75">
      <c r="A60" s="133"/>
      <c r="B60" s="133"/>
      <c r="E60" s="392"/>
      <c r="F60" s="392"/>
      <c r="G60" s="392"/>
      <c r="H60" s="392"/>
      <c r="I60" s="392"/>
      <c r="J60" s="392"/>
      <c r="K60" s="392"/>
      <c r="L60" s="133"/>
      <c r="M60" s="392"/>
      <c r="N60" s="392"/>
      <c r="O60" s="392"/>
      <c r="P60" s="392"/>
      <c r="Q60" s="392"/>
      <c r="R60" s="133"/>
      <c r="S60" s="133"/>
      <c r="T60" s="133"/>
      <c r="U60" s="133"/>
      <c r="V60" s="133"/>
    </row>
    <row r="61" spans="1:22" ht="15.75">
      <c r="A61" s="133"/>
      <c r="B61" s="133"/>
      <c r="E61" s="392"/>
      <c r="F61" s="392"/>
      <c r="G61" s="392"/>
      <c r="H61" s="392"/>
      <c r="I61" s="392"/>
      <c r="J61" s="392"/>
      <c r="K61" s="392"/>
      <c r="L61" s="133"/>
      <c r="M61" s="392"/>
      <c r="N61" s="392"/>
      <c r="O61" s="392"/>
      <c r="P61" s="392"/>
      <c r="Q61" s="392"/>
      <c r="R61" s="133"/>
      <c r="S61" s="133"/>
      <c r="T61" s="133"/>
      <c r="U61" s="133"/>
      <c r="V61" s="133"/>
    </row>
    <row r="62" spans="1:22" ht="15.75">
      <c r="A62" s="133"/>
      <c r="B62" s="133"/>
      <c r="E62" s="392"/>
      <c r="F62" s="392"/>
      <c r="G62" s="392"/>
      <c r="H62" s="392"/>
      <c r="I62" s="392"/>
      <c r="J62" s="392"/>
      <c r="K62" s="392"/>
      <c r="L62" s="133"/>
      <c r="M62" s="392"/>
      <c r="N62" s="392"/>
      <c r="O62" s="392"/>
      <c r="P62" s="392"/>
      <c r="Q62" s="392"/>
      <c r="R62" s="133"/>
      <c r="S62" s="133"/>
      <c r="T62" s="133"/>
      <c r="U62" s="133"/>
      <c r="V62" s="133"/>
    </row>
    <row r="63" spans="1:22" ht="15.75">
      <c r="A63" s="133"/>
      <c r="B63" s="133"/>
      <c r="E63" s="392"/>
      <c r="F63" s="392"/>
      <c r="G63" s="392"/>
      <c r="H63" s="392"/>
      <c r="I63" s="392"/>
      <c r="J63" s="392"/>
      <c r="K63" s="392"/>
      <c r="L63" s="133"/>
      <c r="M63" s="392"/>
      <c r="N63" s="392"/>
      <c r="O63" s="392"/>
      <c r="P63" s="392"/>
      <c r="Q63" s="392"/>
      <c r="R63" s="133"/>
      <c r="S63" s="133"/>
      <c r="T63" s="133"/>
      <c r="U63" s="133"/>
      <c r="V63" s="133"/>
    </row>
    <row r="64" spans="1:22" ht="15.75">
      <c r="A64" s="133"/>
      <c r="B64" s="133"/>
      <c r="E64" s="392"/>
      <c r="F64" s="392"/>
      <c r="G64" s="392"/>
      <c r="H64" s="392"/>
      <c r="I64" s="392"/>
      <c r="J64" s="392"/>
      <c r="K64" s="392"/>
      <c r="L64" s="133"/>
      <c r="M64" s="392"/>
      <c r="N64" s="392"/>
      <c r="O64" s="392"/>
      <c r="P64" s="392"/>
      <c r="Q64" s="392"/>
      <c r="R64" s="133"/>
      <c r="S64" s="133"/>
      <c r="T64" s="133"/>
      <c r="U64" s="133"/>
      <c r="V64" s="133"/>
    </row>
    <row r="65" spans="1:22" ht="15.75">
      <c r="A65" s="133"/>
      <c r="B65" s="133"/>
      <c r="E65" s="392"/>
      <c r="F65" s="392"/>
      <c r="G65" s="392"/>
      <c r="H65" s="392"/>
      <c r="I65" s="392"/>
      <c r="J65" s="392"/>
      <c r="K65" s="392"/>
      <c r="L65" s="133"/>
      <c r="M65" s="392"/>
      <c r="N65" s="392"/>
      <c r="O65" s="392"/>
      <c r="P65" s="392"/>
      <c r="Q65" s="392"/>
      <c r="R65" s="133"/>
      <c r="S65" s="133"/>
      <c r="T65" s="133"/>
      <c r="U65" s="133"/>
      <c r="V65" s="133"/>
    </row>
    <row r="66" spans="1:22" ht="15.75">
      <c r="A66" s="133"/>
      <c r="B66" s="133"/>
      <c r="E66" s="392"/>
      <c r="F66" s="392"/>
      <c r="G66" s="392"/>
      <c r="H66" s="392"/>
      <c r="I66" s="392"/>
      <c r="J66" s="392"/>
      <c r="K66" s="392"/>
      <c r="L66" s="133"/>
      <c r="M66" s="392"/>
      <c r="N66" s="392"/>
      <c r="O66" s="392"/>
      <c r="P66" s="392"/>
      <c r="Q66" s="392"/>
      <c r="R66" s="133"/>
      <c r="S66" s="133"/>
      <c r="T66" s="133"/>
      <c r="U66" s="133"/>
      <c r="V66" s="133"/>
    </row>
    <row r="67" spans="1:22" ht="15.75">
      <c r="A67" s="133"/>
      <c r="B67" s="133"/>
      <c r="E67" s="392"/>
      <c r="F67" s="392"/>
      <c r="G67" s="392"/>
      <c r="H67" s="392"/>
      <c r="I67" s="392"/>
      <c r="J67" s="392"/>
      <c r="K67" s="392"/>
      <c r="L67" s="133"/>
      <c r="M67" s="392"/>
      <c r="N67" s="392"/>
      <c r="O67" s="392"/>
      <c r="P67" s="392"/>
      <c r="Q67" s="392"/>
      <c r="R67" s="133"/>
      <c r="S67" s="133"/>
      <c r="T67" s="133"/>
      <c r="U67" s="133"/>
      <c r="V67" s="133"/>
    </row>
    <row r="68" spans="1:22" ht="15.75">
      <c r="A68" s="133"/>
      <c r="B68" s="133"/>
      <c r="E68" s="392"/>
      <c r="F68" s="392"/>
      <c r="G68" s="392"/>
      <c r="H68" s="392"/>
      <c r="I68" s="392"/>
      <c r="J68" s="392"/>
      <c r="K68" s="392"/>
      <c r="L68" s="133"/>
      <c r="M68" s="392"/>
      <c r="N68" s="392"/>
      <c r="O68" s="392"/>
      <c r="P68" s="392"/>
      <c r="Q68" s="392"/>
      <c r="R68" s="133"/>
      <c r="S68" s="133"/>
      <c r="T68" s="133"/>
      <c r="U68" s="133"/>
      <c r="V68" s="133"/>
    </row>
    <row r="69" spans="1:22" ht="15.75">
      <c r="A69" s="133"/>
      <c r="B69" s="133"/>
      <c r="E69" s="392"/>
      <c r="F69" s="392"/>
      <c r="G69" s="392"/>
      <c r="H69" s="392"/>
      <c r="I69" s="392"/>
      <c r="J69" s="392"/>
      <c r="K69" s="392"/>
      <c r="L69" s="133"/>
      <c r="M69" s="392"/>
      <c r="N69" s="392"/>
      <c r="O69" s="392"/>
      <c r="P69" s="392"/>
      <c r="Q69" s="392"/>
      <c r="R69" s="133"/>
      <c r="S69" s="133"/>
      <c r="T69" s="133"/>
      <c r="U69" s="133"/>
      <c r="V69" s="133"/>
    </row>
    <row r="70" spans="1:22" ht="15.75">
      <c r="A70" s="133"/>
      <c r="B70" s="133"/>
      <c r="E70" s="392"/>
      <c r="F70" s="392"/>
      <c r="G70" s="392"/>
      <c r="H70" s="392"/>
      <c r="I70" s="392"/>
      <c r="J70" s="392"/>
      <c r="K70" s="392"/>
      <c r="L70" s="133"/>
      <c r="M70" s="392"/>
      <c r="N70" s="392"/>
      <c r="O70" s="392"/>
      <c r="P70" s="392"/>
      <c r="Q70" s="392"/>
      <c r="R70" s="133"/>
      <c r="S70" s="133"/>
      <c r="T70" s="133"/>
      <c r="U70" s="133"/>
      <c r="V70" s="133"/>
    </row>
    <row r="71" spans="1:22" ht="15.75">
      <c r="A71" s="133"/>
      <c r="B71" s="133"/>
      <c r="E71" s="392"/>
      <c r="F71" s="392"/>
      <c r="G71" s="392"/>
      <c r="H71" s="392"/>
      <c r="I71" s="392"/>
      <c r="J71" s="392"/>
      <c r="K71" s="392"/>
      <c r="L71" s="133"/>
      <c r="M71" s="392"/>
      <c r="N71" s="392"/>
      <c r="O71" s="392"/>
      <c r="P71" s="392"/>
      <c r="Q71" s="392"/>
      <c r="R71" s="133"/>
      <c r="S71" s="133"/>
      <c r="T71" s="133"/>
      <c r="U71" s="133"/>
      <c r="V71" s="133"/>
    </row>
    <row r="72" spans="1:22" ht="15.75">
      <c r="A72" s="133"/>
      <c r="B72" s="133"/>
      <c r="E72" s="392"/>
      <c r="F72" s="392"/>
      <c r="G72" s="392"/>
      <c r="H72" s="392"/>
      <c r="I72" s="392"/>
      <c r="J72" s="392"/>
      <c r="K72" s="392"/>
      <c r="L72" s="133"/>
      <c r="M72" s="392"/>
      <c r="N72" s="392"/>
      <c r="O72" s="392"/>
      <c r="P72" s="392"/>
      <c r="Q72" s="392"/>
      <c r="R72" s="133"/>
      <c r="S72" s="133"/>
      <c r="T72" s="133"/>
      <c r="U72" s="133"/>
      <c r="V72" s="133"/>
    </row>
    <row r="73" spans="1:22" ht="15.75">
      <c r="A73" s="133"/>
      <c r="B73" s="133"/>
      <c r="E73" s="392"/>
      <c r="F73" s="392"/>
      <c r="G73" s="392"/>
      <c r="H73" s="392"/>
      <c r="I73" s="392"/>
      <c r="J73" s="392"/>
      <c r="K73" s="392"/>
      <c r="L73" s="133"/>
      <c r="M73" s="392"/>
      <c r="N73" s="392"/>
      <c r="O73" s="392"/>
      <c r="P73" s="392"/>
      <c r="Q73" s="392"/>
      <c r="R73" s="133"/>
      <c r="S73" s="133"/>
      <c r="T73" s="133"/>
      <c r="U73" s="133"/>
      <c r="V73" s="133"/>
    </row>
    <row r="74" spans="1:22" ht="15.75">
      <c r="A74" s="133"/>
      <c r="B74" s="133"/>
      <c r="E74" s="392"/>
      <c r="F74" s="392"/>
      <c r="G74" s="392"/>
      <c r="H74" s="392"/>
      <c r="I74" s="392"/>
      <c r="J74" s="392"/>
      <c r="K74" s="392"/>
      <c r="L74" s="133"/>
      <c r="M74" s="392"/>
      <c r="N74" s="392"/>
      <c r="O74" s="392"/>
      <c r="P74" s="392"/>
      <c r="Q74" s="392"/>
      <c r="R74" s="133"/>
      <c r="S74" s="133"/>
      <c r="T74" s="133"/>
      <c r="U74" s="133"/>
      <c r="V74" s="133"/>
    </row>
    <row r="75" spans="1:22" ht="15.75">
      <c r="A75" s="133"/>
      <c r="B75" s="133"/>
      <c r="E75" s="392"/>
      <c r="F75" s="392"/>
      <c r="G75" s="392"/>
      <c r="H75" s="392"/>
      <c r="I75" s="392"/>
      <c r="J75" s="392"/>
      <c r="K75" s="392"/>
      <c r="L75" s="133"/>
      <c r="M75" s="392"/>
      <c r="N75" s="392"/>
      <c r="O75" s="392"/>
      <c r="P75" s="392"/>
      <c r="Q75" s="392"/>
      <c r="R75" s="133"/>
      <c r="S75" s="133"/>
      <c r="T75" s="133"/>
      <c r="U75" s="133"/>
      <c r="V75" s="133"/>
    </row>
    <row r="76" spans="1:22" ht="15.75">
      <c r="A76" s="133"/>
      <c r="B76" s="133"/>
      <c r="E76" s="392"/>
      <c r="F76" s="392"/>
      <c r="G76" s="392"/>
      <c r="H76" s="392"/>
      <c r="I76" s="392"/>
      <c r="J76" s="392"/>
      <c r="K76" s="392"/>
      <c r="L76" s="133"/>
      <c r="M76" s="392"/>
      <c r="N76" s="392"/>
      <c r="O76" s="392"/>
      <c r="P76" s="392"/>
      <c r="Q76" s="392"/>
      <c r="R76" s="133"/>
      <c r="S76" s="133"/>
      <c r="T76" s="133"/>
      <c r="U76" s="133"/>
      <c r="V76" s="133"/>
    </row>
    <row r="77" spans="1:22" ht="15.75">
      <c r="A77" s="133"/>
      <c r="B77" s="133"/>
      <c r="E77" s="392"/>
      <c r="F77" s="392"/>
      <c r="G77" s="392"/>
      <c r="H77" s="392"/>
      <c r="I77" s="392"/>
      <c r="J77" s="392"/>
      <c r="K77" s="392"/>
      <c r="L77" s="133"/>
      <c r="M77" s="392"/>
      <c r="N77" s="392"/>
      <c r="O77" s="392"/>
      <c r="P77" s="392"/>
      <c r="Q77" s="392"/>
      <c r="R77" s="133"/>
      <c r="S77" s="133"/>
      <c r="T77" s="133"/>
      <c r="U77" s="133"/>
      <c r="V77" s="133"/>
    </row>
    <row r="78" spans="1:22" ht="15.75">
      <c r="A78" s="133"/>
      <c r="B78" s="133"/>
      <c r="E78" s="392"/>
      <c r="F78" s="392"/>
      <c r="G78" s="392"/>
      <c r="H78" s="392"/>
      <c r="I78" s="392"/>
      <c r="J78" s="392"/>
      <c r="K78" s="392"/>
      <c r="L78" s="133"/>
      <c r="M78" s="392"/>
      <c r="N78" s="392"/>
      <c r="O78" s="392"/>
      <c r="P78" s="392"/>
      <c r="Q78" s="392"/>
      <c r="R78" s="133"/>
      <c r="S78" s="133"/>
      <c r="T78" s="133"/>
      <c r="U78" s="133"/>
      <c r="V78" s="133"/>
    </row>
    <row r="79" spans="1:22" ht="15.75">
      <c r="A79" s="133"/>
      <c r="B79" s="133"/>
      <c r="E79" s="392"/>
      <c r="F79" s="392"/>
      <c r="G79" s="392"/>
      <c r="H79" s="392"/>
      <c r="I79" s="392"/>
      <c r="J79" s="392"/>
      <c r="K79" s="392"/>
      <c r="L79" s="133"/>
      <c r="M79" s="392"/>
      <c r="N79" s="392"/>
      <c r="O79" s="392"/>
      <c r="P79" s="392"/>
      <c r="Q79" s="392"/>
      <c r="R79" s="133"/>
      <c r="S79" s="133"/>
      <c r="T79" s="133"/>
      <c r="U79" s="133"/>
      <c r="V79" s="133"/>
    </row>
    <row r="80" spans="1:22" ht="15.75">
      <c r="A80" s="133"/>
      <c r="B80" s="133"/>
      <c r="E80" s="392"/>
      <c r="F80" s="392"/>
      <c r="G80" s="392"/>
      <c r="H80" s="392"/>
      <c r="I80" s="392"/>
      <c r="J80" s="392"/>
      <c r="K80" s="392"/>
      <c r="L80" s="133"/>
      <c r="M80" s="392"/>
      <c r="N80" s="392"/>
      <c r="O80" s="392"/>
      <c r="P80" s="392"/>
      <c r="Q80" s="392"/>
      <c r="R80" s="133"/>
      <c r="S80" s="133"/>
      <c r="T80" s="133"/>
      <c r="U80" s="133"/>
      <c r="V80" s="133"/>
    </row>
    <row r="81" spans="1:22" ht="15.75">
      <c r="A81" s="133"/>
      <c r="B81" s="133"/>
      <c r="E81" s="392"/>
      <c r="F81" s="392"/>
      <c r="G81" s="392"/>
      <c r="H81" s="392"/>
      <c r="I81" s="392"/>
      <c r="J81" s="392"/>
      <c r="K81" s="392"/>
      <c r="L81" s="133"/>
      <c r="M81" s="392"/>
      <c r="N81" s="392"/>
      <c r="O81" s="392"/>
      <c r="P81" s="392"/>
      <c r="Q81" s="392"/>
      <c r="R81" s="133"/>
      <c r="S81" s="133"/>
      <c r="T81" s="133"/>
      <c r="U81" s="133"/>
      <c r="V81" s="133"/>
    </row>
    <row r="82" spans="1:22" ht="15.75">
      <c r="A82" s="133"/>
      <c r="B82" s="133"/>
      <c r="E82" s="392"/>
      <c r="F82" s="392"/>
      <c r="G82" s="392"/>
      <c r="H82" s="392"/>
      <c r="I82" s="392"/>
      <c r="J82" s="392"/>
      <c r="K82" s="392"/>
      <c r="L82" s="133"/>
      <c r="M82" s="392"/>
      <c r="N82" s="392"/>
      <c r="O82" s="392"/>
      <c r="P82" s="392"/>
      <c r="Q82" s="392"/>
      <c r="R82" s="133"/>
      <c r="S82" s="133"/>
      <c r="T82" s="133"/>
      <c r="U82" s="133"/>
      <c r="V82" s="133"/>
    </row>
    <row r="83" spans="1:22" ht="15.75">
      <c r="A83" s="133"/>
      <c r="B83" s="133"/>
      <c r="E83" s="392"/>
      <c r="F83" s="392"/>
      <c r="G83" s="392"/>
      <c r="H83" s="392"/>
      <c r="I83" s="392"/>
      <c r="J83" s="392"/>
      <c r="K83" s="392"/>
      <c r="L83" s="133"/>
      <c r="M83" s="392"/>
      <c r="N83" s="392"/>
      <c r="O83" s="392"/>
      <c r="P83" s="392"/>
      <c r="Q83" s="392"/>
      <c r="R83" s="133"/>
      <c r="S83" s="133"/>
      <c r="T83" s="133"/>
      <c r="U83" s="133"/>
      <c r="V83" s="133"/>
    </row>
    <row r="84" spans="1:22" ht="15.75">
      <c r="A84" s="133"/>
      <c r="B84" s="133"/>
      <c r="E84" s="392"/>
      <c r="F84" s="392"/>
      <c r="G84" s="392"/>
      <c r="H84" s="392"/>
      <c r="I84" s="392"/>
      <c r="J84" s="392"/>
      <c r="K84" s="392"/>
      <c r="L84" s="133"/>
      <c r="M84" s="392"/>
      <c r="N84" s="392"/>
      <c r="O84" s="392"/>
      <c r="P84" s="392"/>
      <c r="Q84" s="392"/>
      <c r="R84" s="133"/>
      <c r="S84" s="133"/>
      <c r="T84" s="133"/>
      <c r="U84" s="133"/>
      <c r="V84" s="133"/>
    </row>
    <row r="85" spans="1:22" ht="15.75">
      <c r="A85" s="133"/>
      <c r="B85" s="133"/>
      <c r="E85" s="392"/>
      <c r="F85" s="392"/>
      <c r="G85" s="392"/>
      <c r="H85" s="392"/>
      <c r="I85" s="392"/>
      <c r="J85" s="392"/>
      <c r="K85" s="392"/>
      <c r="L85" s="133"/>
      <c r="M85" s="392"/>
      <c r="N85" s="392"/>
      <c r="O85" s="392"/>
      <c r="P85" s="392"/>
      <c r="Q85" s="392"/>
      <c r="R85" s="133"/>
      <c r="S85" s="133"/>
      <c r="T85" s="133"/>
      <c r="U85" s="133"/>
      <c r="V85" s="133"/>
    </row>
    <row r="86" spans="1:22" ht="15.75">
      <c r="A86" s="133"/>
      <c r="B86" s="133"/>
      <c r="E86" s="392"/>
      <c r="F86" s="392"/>
      <c r="G86" s="392"/>
      <c r="H86" s="392"/>
      <c r="I86" s="392"/>
      <c r="J86" s="392"/>
      <c r="K86" s="392"/>
      <c r="L86" s="133"/>
      <c r="M86" s="392"/>
      <c r="N86" s="392"/>
      <c r="O86" s="392"/>
      <c r="P86" s="392"/>
      <c r="Q86" s="392"/>
      <c r="R86" s="133"/>
      <c r="S86" s="133"/>
      <c r="T86" s="133"/>
      <c r="U86" s="133"/>
      <c r="V86" s="133"/>
    </row>
    <row r="87" spans="1:22" ht="15.75">
      <c r="A87" s="133"/>
      <c r="B87" s="133"/>
      <c r="E87" s="392"/>
      <c r="F87" s="392"/>
      <c r="G87" s="392"/>
      <c r="H87" s="392"/>
      <c r="I87" s="392"/>
      <c r="J87" s="392"/>
      <c r="K87" s="392"/>
      <c r="L87" s="133"/>
      <c r="M87" s="392"/>
      <c r="N87" s="392"/>
      <c r="O87" s="392"/>
      <c r="P87" s="392"/>
      <c r="Q87" s="392"/>
      <c r="R87" s="133"/>
      <c r="S87" s="133"/>
      <c r="T87" s="133"/>
      <c r="U87" s="133"/>
      <c r="V87" s="133"/>
    </row>
    <row r="88" spans="1:22" ht="15.75">
      <c r="A88" s="133"/>
      <c r="B88" s="133"/>
      <c r="E88" s="392"/>
      <c r="F88" s="392"/>
      <c r="G88" s="392"/>
      <c r="H88" s="392"/>
      <c r="I88" s="392"/>
      <c r="J88" s="392"/>
      <c r="K88" s="392"/>
      <c r="L88" s="133"/>
      <c r="M88" s="392"/>
      <c r="N88" s="392"/>
      <c r="O88" s="392"/>
      <c r="P88" s="392"/>
      <c r="Q88" s="392"/>
      <c r="R88" s="133"/>
      <c r="S88" s="133"/>
      <c r="T88" s="133"/>
      <c r="U88" s="133"/>
      <c r="V88" s="133"/>
    </row>
    <row r="89" spans="1:22" ht="15.75">
      <c r="A89" s="133"/>
      <c r="B89" s="133"/>
      <c r="E89" s="392"/>
      <c r="F89" s="392"/>
      <c r="G89" s="392"/>
      <c r="H89" s="392"/>
      <c r="I89" s="392"/>
      <c r="J89" s="392"/>
      <c r="K89" s="392"/>
      <c r="L89" s="133"/>
      <c r="M89" s="392"/>
      <c r="N89" s="392"/>
      <c r="O89" s="392"/>
      <c r="P89" s="392"/>
      <c r="Q89" s="392"/>
      <c r="R89" s="133"/>
      <c r="S89" s="133"/>
      <c r="T89" s="133"/>
      <c r="U89" s="133"/>
      <c r="V89" s="133"/>
    </row>
    <row r="90" spans="1:22" ht="15.75">
      <c r="A90" s="133"/>
      <c r="B90" s="133"/>
      <c r="E90" s="392"/>
      <c r="F90" s="392"/>
      <c r="G90" s="392"/>
      <c r="H90" s="392"/>
      <c r="I90" s="392"/>
      <c r="J90" s="392"/>
      <c r="K90" s="392"/>
      <c r="L90" s="133"/>
      <c r="M90" s="392"/>
      <c r="N90" s="392"/>
      <c r="O90" s="392"/>
      <c r="P90" s="392"/>
      <c r="Q90" s="392"/>
      <c r="R90" s="133"/>
      <c r="S90" s="133"/>
      <c r="T90" s="133"/>
      <c r="U90" s="133"/>
      <c r="V90" s="133"/>
    </row>
    <row r="91" spans="1:22" ht="15.75">
      <c r="A91" s="133"/>
      <c r="B91" s="133"/>
      <c r="E91" s="392"/>
      <c r="F91" s="392"/>
      <c r="G91" s="392"/>
      <c r="H91" s="392"/>
      <c r="I91" s="392"/>
      <c r="J91" s="392"/>
      <c r="K91" s="392"/>
      <c r="L91" s="133"/>
      <c r="M91" s="392"/>
      <c r="N91" s="392"/>
      <c r="O91" s="392"/>
      <c r="P91" s="392"/>
      <c r="Q91" s="392"/>
      <c r="R91" s="133"/>
      <c r="S91" s="133"/>
      <c r="T91" s="133"/>
      <c r="U91" s="133"/>
      <c r="V91" s="133"/>
    </row>
    <row r="92" spans="1:22" ht="15.75">
      <c r="A92" s="133"/>
      <c r="B92" s="133"/>
      <c r="E92" s="392"/>
      <c r="F92" s="392"/>
      <c r="G92" s="392"/>
      <c r="H92" s="392"/>
      <c r="I92" s="392"/>
      <c r="J92" s="392"/>
      <c r="K92" s="392"/>
      <c r="L92" s="133"/>
      <c r="M92" s="392"/>
      <c r="N92" s="392"/>
      <c r="O92" s="392"/>
      <c r="P92" s="392"/>
      <c r="Q92" s="392"/>
      <c r="R92" s="133"/>
      <c r="S92" s="133"/>
      <c r="T92" s="133"/>
      <c r="U92" s="133"/>
      <c r="V92" s="133"/>
    </row>
    <row r="93" spans="1:22" ht="15.75">
      <c r="A93" s="133"/>
      <c r="B93" s="133"/>
      <c r="E93" s="392"/>
      <c r="F93" s="392"/>
      <c r="G93" s="392"/>
      <c r="H93" s="392"/>
      <c r="I93" s="392"/>
      <c r="J93" s="392"/>
      <c r="K93" s="392"/>
      <c r="L93" s="133"/>
      <c r="M93" s="392"/>
      <c r="N93" s="392"/>
      <c r="O93" s="392"/>
      <c r="P93" s="392"/>
      <c r="Q93" s="392"/>
      <c r="R93" s="133"/>
      <c r="S93" s="133"/>
      <c r="T93" s="133"/>
      <c r="U93" s="133"/>
      <c r="V93" s="133"/>
    </row>
    <row r="94" spans="1:22" ht="15.75">
      <c r="A94" s="133"/>
      <c r="B94" s="133"/>
      <c r="E94" s="392"/>
      <c r="F94" s="392"/>
      <c r="G94" s="392"/>
      <c r="H94" s="392"/>
      <c r="I94" s="392"/>
      <c r="J94" s="392"/>
      <c r="K94" s="392"/>
      <c r="L94" s="133"/>
      <c r="M94" s="392"/>
      <c r="N94" s="392"/>
      <c r="O94" s="392"/>
      <c r="P94" s="392"/>
      <c r="Q94" s="392"/>
      <c r="R94" s="133"/>
      <c r="S94" s="133"/>
      <c r="T94" s="133"/>
      <c r="U94" s="133"/>
      <c r="V94" s="133"/>
    </row>
    <row r="95" spans="1:22" ht="15.75">
      <c r="A95" s="133"/>
      <c r="B95" s="133"/>
      <c r="E95" s="392"/>
      <c r="F95" s="392"/>
      <c r="G95" s="392"/>
      <c r="H95" s="392"/>
      <c r="I95" s="392"/>
      <c r="J95" s="392"/>
      <c r="K95" s="392"/>
      <c r="L95" s="133"/>
      <c r="M95" s="392"/>
      <c r="N95" s="392"/>
      <c r="O95" s="392"/>
      <c r="P95" s="392"/>
      <c r="Q95" s="392"/>
      <c r="R95" s="133"/>
      <c r="S95" s="133"/>
      <c r="T95" s="133"/>
      <c r="U95" s="133"/>
      <c r="V95" s="133"/>
    </row>
    <row r="96" spans="1:22" ht="15.75">
      <c r="A96" s="133"/>
      <c r="B96" s="133"/>
      <c r="E96" s="392"/>
      <c r="F96" s="392"/>
      <c r="G96" s="392"/>
      <c r="H96" s="392"/>
      <c r="I96" s="392"/>
      <c r="J96" s="392"/>
      <c r="K96" s="392"/>
      <c r="L96" s="133"/>
      <c r="M96" s="392"/>
      <c r="N96" s="392"/>
      <c r="O96" s="392"/>
      <c r="P96" s="392"/>
      <c r="Q96" s="392"/>
      <c r="R96" s="133"/>
      <c r="S96" s="133"/>
      <c r="T96" s="133"/>
      <c r="U96" s="133"/>
      <c r="V96" s="133"/>
    </row>
    <row r="97" spans="1:22" ht="15.75">
      <c r="A97" s="133"/>
      <c r="B97" s="133"/>
      <c r="E97" s="392"/>
      <c r="F97" s="392"/>
      <c r="G97" s="392"/>
      <c r="H97" s="392"/>
      <c r="I97" s="392"/>
      <c r="J97" s="392"/>
      <c r="K97" s="392"/>
      <c r="L97" s="133"/>
      <c r="M97" s="392"/>
      <c r="N97" s="392"/>
      <c r="O97" s="392"/>
      <c r="P97" s="392"/>
      <c r="Q97" s="392"/>
      <c r="R97" s="133"/>
      <c r="S97" s="133"/>
      <c r="T97" s="133"/>
      <c r="U97" s="133"/>
      <c r="V97" s="133"/>
    </row>
    <row r="98" spans="1:22" ht="15.75">
      <c r="A98" s="133"/>
      <c r="B98" s="133"/>
      <c r="E98" s="392"/>
      <c r="F98" s="392"/>
      <c r="G98" s="392"/>
      <c r="H98" s="392"/>
      <c r="I98" s="392"/>
      <c r="J98" s="392"/>
      <c r="K98" s="392"/>
      <c r="L98" s="133"/>
      <c r="M98" s="392"/>
      <c r="N98" s="392"/>
      <c r="O98" s="392"/>
      <c r="P98" s="392"/>
      <c r="Q98" s="392"/>
      <c r="R98" s="133"/>
      <c r="S98" s="133"/>
      <c r="T98" s="133"/>
      <c r="U98" s="133"/>
      <c r="V98" s="133"/>
    </row>
    <row r="99" spans="1:22" ht="15.75">
      <c r="A99" s="133"/>
      <c r="B99" s="133"/>
      <c r="E99" s="392"/>
      <c r="F99" s="392"/>
      <c r="G99" s="392"/>
      <c r="H99" s="392"/>
      <c r="I99" s="392"/>
      <c r="J99" s="392"/>
      <c r="K99" s="392"/>
      <c r="L99" s="133"/>
      <c r="M99" s="392"/>
      <c r="N99" s="392"/>
      <c r="O99" s="392"/>
      <c r="P99" s="392"/>
      <c r="Q99" s="392"/>
      <c r="R99" s="133"/>
      <c r="S99" s="133"/>
      <c r="T99" s="133"/>
      <c r="U99" s="133"/>
      <c r="V99" s="133"/>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75"/>
  <sheetViews>
    <sheetView tabSelected="1" topLeftCell="A7" zoomScale="75" workbookViewId="0">
      <selection activeCell="L25" sqref="L25"/>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39" t="s">
        <v>406</v>
      </c>
    </row>
    <row r="2" spans="1:11" ht="15.75">
      <c r="A2" s="739" t="s">
        <v>406</v>
      </c>
    </row>
    <row r="3" spans="1:11">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7"/>
    </row>
    <row r="4" spans="1:11" ht="12.75" customHeight="1">
      <c r="A4" s="1141" t="str">
        <f>"Cost of Service Formula Rate Using Actual/Projected FF1 Balances"</f>
        <v>Cost of Service Formula Rate Using Actual/Projected FF1 Balances</v>
      </c>
      <c r="B4" s="1141"/>
      <c r="C4" s="1141"/>
      <c r="D4" s="1141"/>
      <c r="E4" s="1141"/>
      <c r="F4" s="1141"/>
      <c r="G4" s="1141"/>
      <c r="H4" s="44"/>
      <c r="I4" s="44"/>
      <c r="J4" s="44"/>
      <c r="K4" s="44"/>
    </row>
    <row r="5" spans="1:11" ht="12.75" customHeight="1">
      <c r="A5" s="1141" t="s">
        <v>278</v>
      </c>
      <c r="B5" s="1141"/>
      <c r="C5" s="1141"/>
      <c r="D5" s="1141"/>
      <c r="E5" s="1141"/>
      <c r="F5" s="1141"/>
      <c r="G5" s="1141"/>
    </row>
    <row r="6" spans="1:11" ht="12.75" customHeight="1">
      <c r="A6" s="1151" t="str">
        <f>TCOS!F9</f>
        <v>AEP Appalachian Transmission Company</v>
      </c>
      <c r="B6" s="1151"/>
      <c r="C6" s="1151"/>
      <c r="D6" s="1151"/>
      <c r="E6" s="1151"/>
      <c r="F6" s="1151"/>
      <c r="G6" s="1151"/>
    </row>
    <row r="7" spans="1:11" ht="12.75" customHeight="1">
      <c r="A7" s="1140"/>
      <c r="B7" s="1140"/>
      <c r="C7" s="1140"/>
      <c r="D7" s="1140"/>
      <c r="E7" s="1140"/>
      <c r="F7" s="1140"/>
      <c r="G7" s="21"/>
    </row>
    <row r="8" spans="1:11" ht="18">
      <c r="A8" s="1176"/>
      <c r="B8" s="1176"/>
      <c r="C8" s="1176"/>
      <c r="D8" s="1176"/>
      <c r="E8" s="1176"/>
      <c r="F8" s="1176"/>
      <c r="G8" s="1176"/>
    </row>
    <row r="9" spans="1:11" ht="18">
      <c r="A9" s="67"/>
      <c r="B9" s="67"/>
      <c r="C9" s="67"/>
      <c r="D9" s="67"/>
      <c r="E9" s="67"/>
      <c r="F9" s="67"/>
      <c r="G9" s="67"/>
    </row>
    <row r="10" spans="1:11" ht="15.75">
      <c r="B10" s="15" t="s">
        <v>452</v>
      </c>
      <c r="C10" s="15" t="s">
        <v>453</v>
      </c>
      <c r="D10" s="15" t="s">
        <v>454</v>
      </c>
      <c r="E10" s="15" t="s">
        <v>455</v>
      </c>
      <c r="F10" s="15" t="s">
        <v>375</v>
      </c>
      <c r="G10" s="15" t="s">
        <v>376</v>
      </c>
    </row>
    <row r="11" spans="1:11" ht="15.75">
      <c r="B11" s="25"/>
      <c r="C11" s="21"/>
      <c r="D11" s="77"/>
      <c r="E11" s="78"/>
      <c r="F11" s="79" t="s">
        <v>378</v>
      </c>
      <c r="G11" s="15"/>
    </row>
    <row r="12" spans="1:11" ht="15.75">
      <c r="A12" s="28" t="s">
        <v>459</v>
      </c>
      <c r="B12" s="25"/>
      <c r="C12" s="34"/>
      <c r="D12" s="28">
        <f>+TCOS!L4</f>
        <v>2026</v>
      </c>
      <c r="E12" s="79" t="s">
        <v>378</v>
      </c>
      <c r="F12" s="28" t="s">
        <v>407</v>
      </c>
      <c r="G12" s="15"/>
    </row>
    <row r="13" spans="1:11" ht="15.75">
      <c r="A13" s="28" t="s">
        <v>397</v>
      </c>
      <c r="B13" s="28" t="s">
        <v>360</v>
      </c>
      <c r="C13" s="28" t="s">
        <v>457</v>
      </c>
      <c r="D13" s="28" t="s">
        <v>361</v>
      </c>
      <c r="E13" s="28" t="s">
        <v>380</v>
      </c>
      <c r="F13" s="28" t="s">
        <v>362</v>
      </c>
      <c r="G13" s="28" t="s">
        <v>363</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284</v>
      </c>
      <c r="D17" s="19"/>
      <c r="E17" s="19"/>
      <c r="F17" s="19"/>
      <c r="G17" s="42"/>
    </row>
    <row r="18" spans="1:7">
      <c r="A18" s="27">
        <v>1</v>
      </c>
      <c r="B18" s="702"/>
      <c r="C18" s="395"/>
      <c r="D18" s="394"/>
      <c r="E18" s="40"/>
      <c r="F18" s="40"/>
      <c r="G18" s="18"/>
    </row>
    <row r="19" spans="1:7">
      <c r="A19" s="27">
        <f>+A18+1</f>
        <v>2</v>
      </c>
      <c r="B19" s="703"/>
      <c r="C19" s="704"/>
      <c r="D19" s="394"/>
      <c r="E19" s="40"/>
      <c r="F19" s="40"/>
      <c r="G19" s="18"/>
    </row>
    <row r="20" spans="1:7" ht="15.75">
      <c r="A20" s="27">
        <f>+A19+1</f>
        <v>3</v>
      </c>
      <c r="B20" s="705"/>
      <c r="C20" s="395"/>
      <c r="D20" s="394"/>
      <c r="E20" s="40"/>
      <c r="F20" s="40"/>
      <c r="G20" s="18"/>
    </row>
    <row r="21" spans="1:7" ht="15.75">
      <c r="A21" s="27">
        <f>+A20+1</f>
        <v>4</v>
      </c>
      <c r="B21" s="28"/>
      <c r="C21" s="91" t="s">
        <v>410</v>
      </c>
      <c r="D21" s="35">
        <f>SUM(D18:D20)</f>
        <v>0</v>
      </c>
      <c r="E21" s="40"/>
      <c r="F21" s="40"/>
      <c r="G21" s="28"/>
    </row>
    <row r="22" spans="1:7" ht="15.75">
      <c r="A22" s="27"/>
      <c r="B22" s="28"/>
      <c r="C22" s="91"/>
      <c r="D22" s="97"/>
      <c r="E22" s="19"/>
      <c r="F22" s="19"/>
      <c r="G22" s="28"/>
    </row>
    <row r="23" spans="1:7" ht="15.75">
      <c r="A23" s="7"/>
      <c r="B23" s="28"/>
      <c r="C23" s="28" t="s">
        <v>191</v>
      </c>
      <c r="D23" s="103"/>
      <c r="E23" s="19"/>
      <c r="F23" s="19"/>
      <c r="G23" s="28"/>
    </row>
    <row r="24" spans="1:7" ht="15.75">
      <c r="A24" s="27">
        <f>+A21+1</f>
        <v>5</v>
      </c>
      <c r="B24" s="7"/>
      <c r="C24" s="109"/>
      <c r="D24" s="920"/>
      <c r="E24" s="19"/>
      <c r="F24" s="19"/>
      <c r="G24" s="28"/>
    </row>
    <row r="25" spans="1:7" ht="15.75">
      <c r="A25" s="110">
        <f>+A24+1</f>
        <v>6</v>
      </c>
      <c r="B25" s="7" t="s">
        <v>177</v>
      </c>
      <c r="C25" s="7" t="s">
        <v>174</v>
      </c>
      <c r="D25" s="394">
        <v>0</v>
      </c>
      <c r="E25" s="19"/>
      <c r="F25" s="19"/>
      <c r="G25" s="28"/>
    </row>
    <row r="26" spans="1:7" ht="15.75">
      <c r="A26" s="27">
        <f>+A25+1</f>
        <v>7</v>
      </c>
      <c r="B26" s="109" t="s">
        <v>178</v>
      </c>
      <c r="C26" s="109" t="s">
        <v>175</v>
      </c>
      <c r="D26" s="394">
        <v>79041.680397908945</v>
      </c>
      <c r="E26" s="19"/>
      <c r="F26" s="19"/>
      <c r="G26" s="28"/>
    </row>
    <row r="27" spans="1:7" ht="15.75">
      <c r="A27" s="110">
        <f t="shared" ref="A27:A32" si="0">+A26+1</f>
        <v>8</v>
      </c>
      <c r="B27" s="7" t="s">
        <v>179</v>
      </c>
      <c r="C27" s="7" t="s">
        <v>176</v>
      </c>
      <c r="D27" s="394">
        <v>0</v>
      </c>
      <c r="E27" s="19"/>
      <c r="F27" s="19"/>
      <c r="G27" s="28"/>
    </row>
    <row r="28" spans="1:7" ht="15.75">
      <c r="A28" s="27">
        <f t="shared" si="0"/>
        <v>9</v>
      </c>
      <c r="B28" s="109" t="s">
        <v>180</v>
      </c>
      <c r="C28" s="109" t="s">
        <v>184</v>
      </c>
      <c r="D28" s="394">
        <v>0</v>
      </c>
      <c r="E28" s="19"/>
      <c r="F28" s="19"/>
      <c r="G28" s="28"/>
    </row>
    <row r="29" spans="1:7" ht="15.75">
      <c r="A29" s="110">
        <f t="shared" si="0"/>
        <v>10</v>
      </c>
      <c r="B29" s="7" t="s">
        <v>181</v>
      </c>
      <c r="C29" s="7" t="s">
        <v>187</v>
      </c>
      <c r="D29" s="394">
        <v>12344.487049743426</v>
      </c>
      <c r="E29" s="19"/>
      <c r="F29" s="19"/>
      <c r="G29" s="28"/>
    </row>
    <row r="30" spans="1:7" ht="15.75">
      <c r="A30" s="27">
        <f t="shared" si="0"/>
        <v>11</v>
      </c>
      <c r="B30" s="109" t="s">
        <v>182</v>
      </c>
      <c r="C30" s="109" t="s">
        <v>188</v>
      </c>
      <c r="D30" s="394">
        <v>0</v>
      </c>
      <c r="E30" s="19"/>
      <c r="F30" s="19"/>
      <c r="G30" s="28"/>
    </row>
    <row r="31" spans="1:7" ht="15.75">
      <c r="A31" s="110">
        <f t="shared" si="0"/>
        <v>12</v>
      </c>
      <c r="B31" s="7" t="s">
        <v>183</v>
      </c>
      <c r="C31" s="7" t="s">
        <v>189</v>
      </c>
      <c r="D31" s="394">
        <v>0</v>
      </c>
      <c r="E31" s="19"/>
      <c r="F31" s="19"/>
      <c r="G31" s="28"/>
    </row>
    <row r="32" spans="1:7" ht="15.75">
      <c r="A32" s="27">
        <f t="shared" si="0"/>
        <v>13</v>
      </c>
      <c r="B32" s="109" t="s">
        <v>185</v>
      </c>
      <c r="C32" s="109" t="s">
        <v>190</v>
      </c>
      <c r="D32" s="394">
        <v>0</v>
      </c>
      <c r="E32" s="19"/>
      <c r="F32" s="19"/>
      <c r="G32" s="28"/>
    </row>
    <row r="33" spans="1:19" ht="15.75">
      <c r="A33" s="110">
        <f>+A32+1</f>
        <v>14</v>
      </c>
      <c r="B33" s="7"/>
      <c r="C33" s="15" t="s">
        <v>186</v>
      </c>
      <c r="D33" s="35">
        <f>SUM(D24:D32)</f>
        <v>91386.167447652377</v>
      </c>
      <c r="E33" s="28"/>
      <c r="F33" s="28"/>
      <c r="G33" s="28"/>
    </row>
    <row r="34" spans="1:19" ht="15.75">
      <c r="A34" s="90"/>
      <c r="B34" s="39"/>
      <c r="C34" s="28"/>
      <c r="D34" s="28"/>
      <c r="E34" s="28"/>
      <c r="F34" s="28"/>
      <c r="G34" s="28"/>
    </row>
    <row r="35" spans="1:19" ht="15.75">
      <c r="A35" s="90"/>
      <c r="B35" s="27"/>
      <c r="C35" s="46" t="s">
        <v>494</v>
      </c>
      <c r="D35" s="21"/>
      <c r="E35" s="21"/>
      <c r="F35" s="21"/>
      <c r="G35" s="21"/>
    </row>
    <row r="36" spans="1:19">
      <c r="A36" s="27">
        <f>+A33+1</f>
        <v>15</v>
      </c>
      <c r="B36" s="702" t="s">
        <v>913</v>
      </c>
      <c r="C36" s="395" t="s">
        <v>914</v>
      </c>
      <c r="D36" s="394">
        <v>0.50935039509812463</v>
      </c>
      <c r="E36" s="920">
        <v>0.50935039509812463</v>
      </c>
      <c r="F36" s="920">
        <v>0</v>
      </c>
      <c r="G36" s="18"/>
    </row>
    <row r="37" spans="1:19">
      <c r="A37" s="27">
        <f>+A36+1</f>
        <v>16</v>
      </c>
      <c r="B37" s="702" t="s">
        <v>915</v>
      </c>
      <c r="C37" s="395" t="s">
        <v>916</v>
      </c>
      <c r="D37" s="394">
        <v>8.2419157782868055E-3</v>
      </c>
      <c r="E37" s="920">
        <v>8.2419157782868055E-3</v>
      </c>
      <c r="F37" s="920">
        <v>0</v>
      </c>
      <c r="G37" s="18"/>
    </row>
    <row r="38" spans="1:19">
      <c r="A38" s="27">
        <f>+A37+1</f>
        <v>17</v>
      </c>
      <c r="B38" s="702" t="s">
        <v>917</v>
      </c>
      <c r="C38" s="395" t="s">
        <v>918</v>
      </c>
      <c r="D38" s="394">
        <v>6.4147464495927622</v>
      </c>
      <c r="E38" s="920">
        <v>6.4147464495927622</v>
      </c>
      <c r="F38" s="920">
        <v>0</v>
      </c>
      <c r="G38" s="18"/>
    </row>
    <row r="39" spans="1:19">
      <c r="A39" s="27">
        <f>+A38+1</f>
        <v>18</v>
      </c>
      <c r="B39" s="702" t="s">
        <v>919</v>
      </c>
      <c r="C39" s="395" t="s">
        <v>920</v>
      </c>
      <c r="D39" s="394">
        <v>50.929206769415515</v>
      </c>
      <c r="E39" s="920">
        <v>0</v>
      </c>
      <c r="F39" s="920">
        <v>50.929206769415515</v>
      </c>
      <c r="G39" s="42"/>
    </row>
    <row r="40" spans="1:19">
      <c r="A40" s="27">
        <f>+A39+1</f>
        <v>19</v>
      </c>
      <c r="B40" s="702"/>
      <c r="C40" s="395"/>
      <c r="D40" s="394"/>
      <c r="E40" s="19"/>
      <c r="F40" s="19"/>
      <c r="G40" s="42"/>
    </row>
    <row r="41" spans="1:19">
      <c r="A41" s="27">
        <f>+A40+1</f>
        <v>20</v>
      </c>
      <c r="B41" s="702"/>
      <c r="C41" s="395"/>
      <c r="D41" s="394"/>
      <c r="E41" s="19"/>
      <c r="F41" s="19"/>
      <c r="G41" s="42"/>
    </row>
    <row r="42" spans="1:19">
      <c r="A42" s="27"/>
      <c r="B42" s="2"/>
      <c r="C42" s="37"/>
      <c r="D42" s="19"/>
      <c r="E42" s="19"/>
      <c r="F42" s="19"/>
      <c r="G42" s="18"/>
    </row>
    <row r="43" spans="1:19" ht="12.75" customHeight="1">
      <c r="A43" s="27"/>
      <c r="B43" s="20" t="s">
        <v>406</v>
      </c>
      <c r="C43" s="37"/>
      <c r="D43" s="22"/>
      <c r="E43" s="23"/>
      <c r="F43" s="24"/>
      <c r="G43" s="21"/>
    </row>
    <row r="44" spans="1:19" ht="15.75" customHeight="1">
      <c r="A44" s="27">
        <f>+A41+1</f>
        <v>21</v>
      </c>
      <c r="B44" s="25"/>
      <c r="C44" s="921" t="s">
        <v>629</v>
      </c>
      <c r="D44" s="35">
        <f>SUM(D36:D42)</f>
        <v>57.861545529884687</v>
      </c>
      <c r="E44" s="35">
        <f>SUM(E36:E42)</f>
        <v>6.9323387604691735</v>
      </c>
      <c r="F44" s="35">
        <f>SUM(F36:F42)</f>
        <v>50.929206769415515</v>
      </c>
      <c r="G44" s="10"/>
    </row>
    <row r="45" spans="1:19" ht="12.75" customHeight="1">
      <c r="A45" s="27"/>
      <c r="B45" s="25"/>
      <c r="C45" s="26"/>
      <c r="D45" s="38"/>
      <c r="E45" s="12"/>
      <c r="F45" s="12"/>
      <c r="G45" s="21"/>
    </row>
    <row r="46" spans="1:19" ht="15.75">
      <c r="A46" s="27"/>
      <c r="B46" s="27"/>
      <c r="C46" s="46" t="s">
        <v>493</v>
      </c>
      <c r="D46" s="12"/>
      <c r="E46" s="12"/>
      <c r="F46" s="12"/>
      <c r="G46" s="21"/>
    </row>
    <row r="47" spans="1:19">
      <c r="A47" s="27">
        <f>+A44+1</f>
        <v>22</v>
      </c>
      <c r="B47" s="702" t="s">
        <v>921</v>
      </c>
      <c r="C47" s="395" t="s">
        <v>922</v>
      </c>
      <c r="D47" s="396">
        <v>0</v>
      </c>
      <c r="E47" s="1036">
        <v>0</v>
      </c>
      <c r="F47" s="1036">
        <v>0</v>
      </c>
      <c r="G47"/>
      <c r="M47" s="9"/>
      <c r="N47" s="9"/>
      <c r="O47" s="11"/>
      <c r="P47" s="11"/>
      <c r="Q47" s="11"/>
      <c r="R47" s="11"/>
      <c r="S47" s="11"/>
    </row>
    <row r="48" spans="1:19">
      <c r="A48" s="27">
        <f>+A47+1</f>
        <v>23</v>
      </c>
      <c r="B48" s="702" t="s">
        <v>923</v>
      </c>
      <c r="C48" s="395" t="s">
        <v>924</v>
      </c>
      <c r="D48" s="396">
        <v>0</v>
      </c>
      <c r="E48" s="1036">
        <v>0</v>
      </c>
      <c r="F48" s="1036">
        <v>0</v>
      </c>
      <c r="G48"/>
      <c r="M48" s="9"/>
      <c r="N48" s="9"/>
      <c r="O48" s="11"/>
      <c r="P48" s="11"/>
      <c r="Q48" s="11"/>
      <c r="R48" s="11"/>
      <c r="S48" s="11"/>
    </row>
    <row r="49" spans="1:19">
      <c r="A49" s="27">
        <f t="shared" ref="A49:A62" si="1">+A48+1</f>
        <v>24</v>
      </c>
      <c r="B49" s="702" t="s">
        <v>925</v>
      </c>
      <c r="C49" s="395" t="s">
        <v>926</v>
      </c>
      <c r="D49" s="396">
        <v>0</v>
      </c>
      <c r="E49" s="1036">
        <v>0</v>
      </c>
      <c r="F49" s="1036">
        <v>0</v>
      </c>
      <c r="G49"/>
      <c r="M49" s="9"/>
      <c r="N49" s="9"/>
      <c r="O49" s="11"/>
      <c r="P49" s="11"/>
      <c r="Q49" s="11"/>
      <c r="R49" s="11"/>
      <c r="S49" s="11"/>
    </row>
    <row r="50" spans="1:19">
      <c r="A50" s="27">
        <f t="shared" si="1"/>
        <v>25</v>
      </c>
      <c r="B50" s="702" t="s">
        <v>927</v>
      </c>
      <c r="C50" s="395" t="s">
        <v>928</v>
      </c>
      <c r="D50" s="396">
        <v>0</v>
      </c>
      <c r="E50" s="1036">
        <v>0</v>
      </c>
      <c r="F50" s="1036">
        <v>0</v>
      </c>
      <c r="G50"/>
      <c r="M50" s="9"/>
      <c r="N50" s="9"/>
      <c r="O50" s="11"/>
      <c r="P50" s="11"/>
      <c r="Q50" s="11"/>
      <c r="R50" s="11"/>
      <c r="S50" s="11"/>
    </row>
    <row r="51" spans="1:19">
      <c r="A51" s="27">
        <f t="shared" si="1"/>
        <v>26</v>
      </c>
      <c r="B51" s="702" t="s">
        <v>929</v>
      </c>
      <c r="C51" s="395" t="s">
        <v>930</v>
      </c>
      <c r="D51" s="396">
        <v>0</v>
      </c>
      <c r="E51" s="1036">
        <v>0</v>
      </c>
      <c r="F51" s="1036">
        <v>0</v>
      </c>
      <c r="G51"/>
      <c r="M51" s="9"/>
      <c r="N51" s="9"/>
      <c r="O51" s="11"/>
      <c r="P51" s="11"/>
      <c r="Q51" s="11"/>
      <c r="R51" s="11"/>
      <c r="S51" s="11"/>
    </row>
    <row r="52" spans="1:19">
      <c r="A52" s="27">
        <f t="shared" si="1"/>
        <v>27</v>
      </c>
      <c r="B52" s="702" t="s">
        <v>931</v>
      </c>
      <c r="C52" s="395" t="s">
        <v>932</v>
      </c>
      <c r="D52" s="396">
        <v>0</v>
      </c>
      <c r="E52" s="1036">
        <v>0</v>
      </c>
      <c r="F52" s="1036">
        <v>0</v>
      </c>
      <c r="G52"/>
      <c r="M52" s="9"/>
      <c r="N52" s="9"/>
      <c r="O52" s="11"/>
      <c r="P52" s="11"/>
      <c r="Q52" s="11"/>
      <c r="R52" s="11"/>
      <c r="S52" s="11"/>
    </row>
    <row r="53" spans="1:19">
      <c r="A53" s="27">
        <f t="shared" si="1"/>
        <v>28</v>
      </c>
      <c r="B53" s="702"/>
      <c r="C53" s="395"/>
      <c r="D53" s="396"/>
      <c r="E53" s="19"/>
      <c r="F53" s="19"/>
      <c r="G53"/>
      <c r="M53" s="9"/>
      <c r="N53" s="9"/>
      <c r="O53" s="11"/>
      <c r="P53" s="11"/>
      <c r="Q53" s="11"/>
      <c r="R53" s="11"/>
      <c r="S53" s="11"/>
    </row>
    <row r="54" spans="1:19">
      <c r="A54" s="27">
        <f t="shared" si="1"/>
        <v>29</v>
      </c>
      <c r="B54" s="702"/>
      <c r="C54" s="395"/>
      <c r="D54" s="396"/>
      <c r="E54" s="19"/>
      <c r="F54" s="19"/>
      <c r="G54"/>
      <c r="M54" s="9"/>
      <c r="N54" s="9"/>
      <c r="O54" s="11"/>
      <c r="P54" s="11"/>
      <c r="Q54" s="11"/>
      <c r="R54" s="11"/>
      <c r="S54" s="11"/>
    </row>
    <row r="55" spans="1:19">
      <c r="A55" s="27">
        <f t="shared" si="1"/>
        <v>30</v>
      </c>
      <c r="B55" s="702"/>
      <c r="C55" s="395"/>
      <c r="D55" s="396"/>
      <c r="E55" s="19"/>
      <c r="F55" s="19"/>
      <c r="G55"/>
      <c r="M55" s="9"/>
      <c r="N55" s="9"/>
      <c r="O55" s="11"/>
      <c r="P55" s="11"/>
      <c r="Q55" s="11"/>
      <c r="R55" s="11"/>
      <c r="S55" s="11"/>
    </row>
    <row r="56" spans="1:19">
      <c r="A56" s="27">
        <f t="shared" si="1"/>
        <v>31</v>
      </c>
      <c r="B56" s="702"/>
      <c r="C56" s="395"/>
      <c r="D56" s="396"/>
      <c r="E56" s="19"/>
      <c r="F56" s="19"/>
      <c r="G56"/>
      <c r="M56" s="9"/>
      <c r="N56" s="9"/>
      <c r="O56" s="11"/>
      <c r="P56" s="11"/>
      <c r="Q56" s="11"/>
      <c r="R56" s="11"/>
      <c r="S56" s="11"/>
    </row>
    <row r="57" spans="1:19">
      <c r="A57" s="27">
        <f t="shared" si="1"/>
        <v>32</v>
      </c>
      <c r="B57" s="702"/>
      <c r="C57" s="395"/>
      <c r="D57" s="396"/>
      <c r="E57" s="19"/>
      <c r="F57" s="22"/>
      <c r="G57"/>
      <c r="M57" s="9"/>
      <c r="N57" s="9"/>
      <c r="O57" s="11"/>
      <c r="P57" s="11"/>
      <c r="Q57" s="11"/>
      <c r="R57" s="11"/>
      <c r="S57" s="11"/>
    </row>
    <row r="58" spans="1:19">
      <c r="A58" s="27">
        <f t="shared" si="1"/>
        <v>33</v>
      </c>
      <c r="B58" s="702"/>
      <c r="C58" s="395"/>
      <c r="D58" s="396"/>
      <c r="E58" s="19"/>
      <c r="F58" s="22"/>
      <c r="G58"/>
    </row>
    <row r="59" spans="1:19">
      <c r="A59" s="27">
        <f t="shared" si="1"/>
        <v>34</v>
      </c>
      <c r="B59" s="702"/>
      <c r="C59" s="395"/>
      <c r="D59" s="396"/>
      <c r="E59" s="19"/>
      <c r="F59" s="22"/>
      <c r="G59" s="21"/>
    </row>
    <row r="60" spans="1:19">
      <c r="A60" s="27">
        <f t="shared" si="1"/>
        <v>35</v>
      </c>
      <c r="B60" s="702"/>
      <c r="C60" s="395"/>
      <c r="D60" s="396"/>
      <c r="E60" s="19"/>
      <c r="F60" s="22"/>
      <c r="G60" s="21"/>
    </row>
    <row r="61" spans="1:19">
      <c r="A61" s="27">
        <f t="shared" si="1"/>
        <v>36</v>
      </c>
      <c r="B61" s="702"/>
      <c r="C61" s="395"/>
      <c r="D61" s="396"/>
      <c r="E61" s="19"/>
      <c r="F61" s="22"/>
      <c r="G61" s="21"/>
    </row>
    <row r="62" spans="1:19">
      <c r="A62" s="27">
        <f t="shared" si="1"/>
        <v>37</v>
      </c>
      <c r="B62" s="702"/>
      <c r="C62" s="395"/>
      <c r="D62" s="396"/>
      <c r="E62" s="19"/>
      <c r="F62" s="22"/>
      <c r="G62" s="21"/>
    </row>
    <row r="63" spans="1:19">
      <c r="A63" s="27"/>
      <c r="B63" s="20"/>
      <c r="C63" s="21"/>
      <c r="D63" s="29"/>
      <c r="E63" s="30"/>
      <c r="F63" s="29"/>
      <c r="G63" s="21"/>
    </row>
    <row r="64" spans="1:19" ht="15.75">
      <c r="A64" s="27">
        <f>+A62+1</f>
        <v>38</v>
      </c>
      <c r="B64" s="25"/>
      <c r="C64" s="921" t="s">
        <v>630</v>
      </c>
      <c r="D64" s="31">
        <f>SUM(D47:D63)</f>
        <v>0</v>
      </c>
      <c r="E64" s="31">
        <f>SUM(E47:E63)</f>
        <v>0</v>
      </c>
      <c r="F64" s="31">
        <f>SUM(F47:F63)</f>
        <v>0</v>
      </c>
      <c r="G64" s="10"/>
    </row>
    <row r="65" spans="1:11" ht="12.75" customHeight="1">
      <c r="A65" s="27"/>
      <c r="B65" s="16"/>
      <c r="C65" s="16"/>
      <c r="D65" s="16"/>
      <c r="E65" s="16"/>
      <c r="F65" s="16"/>
      <c r="G65" s="16"/>
    </row>
    <row r="66" spans="1:11" ht="15.75">
      <c r="A66" s="27"/>
      <c r="B66" s="15"/>
      <c r="C66" s="46" t="s">
        <v>492</v>
      </c>
      <c r="D66" s="32"/>
      <c r="E66" s="32"/>
      <c r="F66" s="32"/>
      <c r="G66" s="15"/>
    </row>
    <row r="67" spans="1:11">
      <c r="A67" s="27">
        <f>+A64+1</f>
        <v>39</v>
      </c>
      <c r="B67" s="702" t="s">
        <v>883</v>
      </c>
      <c r="C67" s="395" t="s">
        <v>884</v>
      </c>
      <c r="D67" s="396">
        <v>2375.9383697838989</v>
      </c>
      <c r="E67" s="19">
        <f>D67</f>
        <v>2375.9383697838989</v>
      </c>
      <c r="F67" s="22">
        <v>0</v>
      </c>
      <c r="G67" s="9"/>
      <c r="H67" s="9"/>
      <c r="J67" s="11"/>
      <c r="K67" s="11"/>
    </row>
    <row r="68" spans="1:11">
      <c r="A68" s="27">
        <f>+A67+1</f>
        <v>40</v>
      </c>
      <c r="B68" s="702" t="s">
        <v>885</v>
      </c>
      <c r="C68" s="395" t="s">
        <v>886</v>
      </c>
      <c r="D68" s="396">
        <v>2034.0801767902844</v>
      </c>
      <c r="E68" s="19">
        <f>D68</f>
        <v>2034.0801767902844</v>
      </c>
      <c r="F68" s="22">
        <v>0</v>
      </c>
      <c r="G68" s="9"/>
      <c r="H68" s="9"/>
      <c r="J68" s="11"/>
      <c r="K68" s="11"/>
    </row>
    <row r="69" spans="1:11">
      <c r="A69" s="27">
        <f>+A68+1</f>
        <v>41</v>
      </c>
      <c r="B69" s="1035" t="s">
        <v>907</v>
      </c>
      <c r="C69" s="395" t="s">
        <v>912</v>
      </c>
      <c r="D69" s="396">
        <v>14.377027365165427</v>
      </c>
      <c r="E69" s="19">
        <f>D69</f>
        <v>14.377027365165427</v>
      </c>
      <c r="F69" s="22">
        <v>0</v>
      </c>
      <c r="G69" s="9"/>
      <c r="H69" s="9"/>
      <c r="J69" s="11"/>
      <c r="K69" s="11"/>
    </row>
    <row r="70" spans="1:11">
      <c r="A70" s="27">
        <f>+A69+1</f>
        <v>42</v>
      </c>
      <c r="B70" s="702" t="s">
        <v>887</v>
      </c>
      <c r="C70" s="395" t="s">
        <v>888</v>
      </c>
      <c r="D70" s="396">
        <v>396.73429644690987</v>
      </c>
      <c r="E70" s="19">
        <f>F70-D70</f>
        <v>0</v>
      </c>
      <c r="F70" s="22">
        <f>D70</f>
        <v>396.73429644690987</v>
      </c>
      <c r="G70" s="16"/>
    </row>
    <row r="71" spans="1:11">
      <c r="A71" s="27"/>
      <c r="B71" s="16"/>
      <c r="C71" s="16"/>
      <c r="D71" s="16"/>
      <c r="E71" s="16"/>
      <c r="F71" s="16"/>
      <c r="G71" s="16"/>
    </row>
    <row r="72" spans="1:11" ht="15.75">
      <c r="A72" s="27">
        <f>+A70+1</f>
        <v>43</v>
      </c>
      <c r="B72" s="16"/>
      <c r="C72" s="921" t="s">
        <v>631</v>
      </c>
      <c r="D72" s="31">
        <f>SUM(D67:D71)</f>
        <v>4821.1298703862585</v>
      </c>
      <c r="E72" s="31">
        <f>SUM(E67:E71)</f>
        <v>4424.3955739393487</v>
      </c>
      <c r="F72" s="31">
        <f>SUM(F67:F71)</f>
        <v>396.73429644690987</v>
      </c>
      <c r="G72" s="10"/>
    </row>
    <row r="73" spans="1:11">
      <c r="A73" s="27"/>
      <c r="B73" s="41"/>
      <c r="C73"/>
      <c r="D73"/>
      <c r="E73"/>
      <c r="F73"/>
      <c r="G73"/>
    </row>
    <row r="74" spans="1:11" ht="12.75">
      <c r="A74" s="41"/>
      <c r="B74"/>
      <c r="C74"/>
      <c r="D74"/>
      <c r="E74"/>
      <c r="F74"/>
    </row>
    <row r="75" spans="1:11" ht="12.75">
      <c r="A75" s="41"/>
      <c r="B75"/>
      <c r="C75"/>
      <c r="D75"/>
      <c r="E75"/>
      <c r="F75"/>
    </row>
  </sheetData>
  <mergeCells count="6">
    <mergeCell ref="A3:G3"/>
    <mergeCell ref="A8:G8"/>
    <mergeCell ref="A7:F7"/>
    <mergeCell ref="A4:G4"/>
    <mergeCell ref="A5:G5"/>
    <mergeCell ref="A6:G6"/>
  </mergeCells>
  <phoneticPr fontId="0" type="noConversion"/>
  <pageMargins left="1.27" right="1.28" top="0.8" bottom="0.67" header="0.75" footer="0.4"/>
  <pageSetup scale="48"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41"/>
  <sheetViews>
    <sheetView tabSelected="1" topLeftCell="A6" zoomScaleNormal="100" workbookViewId="0">
      <selection activeCell="L25" sqref="L25"/>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39" t="s">
        <v>406</v>
      </c>
    </row>
    <row r="2" spans="1:15" ht="15.75">
      <c r="A2" s="739" t="s">
        <v>406</v>
      </c>
    </row>
    <row r="3" spans="1:15"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row>
    <row r="4" spans="1:15" ht="15">
      <c r="A4" s="1141" t="str">
        <f>"Cost of Service Formula Rate Using Actual/Projected FF1 Balances"</f>
        <v>Cost of Service Formula Rate Using Actual/Projected FF1 Balances</v>
      </c>
      <c r="B4" s="1141"/>
      <c r="C4" s="1141"/>
      <c r="D4" s="1141"/>
      <c r="E4" s="1141"/>
      <c r="F4" s="1141"/>
      <c r="G4" s="1141"/>
      <c r="H4" s="1141"/>
    </row>
    <row r="5" spans="1:15" ht="15">
      <c r="A5" s="1141" t="s">
        <v>328</v>
      </c>
      <c r="B5" s="1141"/>
      <c r="C5" s="1141"/>
      <c r="D5" s="1141"/>
      <c r="E5" s="1141"/>
      <c r="F5" s="1141"/>
      <c r="G5" s="1141"/>
      <c r="H5" s="1141"/>
    </row>
    <row r="6" spans="1:15" ht="15">
      <c r="A6" s="1151" t="str">
        <f>TCOS!F9</f>
        <v>AEP Appalachian Transmission Company</v>
      </c>
      <c r="B6" s="1151"/>
      <c r="C6" s="1151"/>
      <c r="D6" s="1151"/>
      <c r="E6" s="1151"/>
      <c r="F6" s="1151"/>
      <c r="G6" s="1151"/>
    </row>
    <row r="7" spans="1:15" ht="12.75" customHeight="1">
      <c r="A7" s="6"/>
      <c r="B7" s="397"/>
      <c r="C7" s="397"/>
      <c r="D7" s="397"/>
      <c r="E7" s="397"/>
      <c r="F7" s="397"/>
      <c r="G7" s="397"/>
      <c r="H7" s="397"/>
      <c r="I7" s="397"/>
      <c r="J7" s="397"/>
      <c r="O7" s="398"/>
    </row>
    <row r="8" spans="1:15" ht="12.75" customHeight="1">
      <c r="A8" s="6"/>
      <c r="B8" s="17"/>
      <c r="C8" s="133"/>
      <c r="D8" s="133"/>
      <c r="E8" s="133"/>
      <c r="F8" s="133"/>
    </row>
    <row r="9" spans="1:15" ht="15">
      <c r="A9" s="399">
        <v>1</v>
      </c>
      <c r="B9" s="408" t="s">
        <v>799</v>
      </c>
      <c r="C9" s="400"/>
      <c r="D9" s="401"/>
      <c r="E9" s="406">
        <v>6.5000000000000002E-2</v>
      </c>
      <c r="F9" s="133"/>
      <c r="G9" s="402"/>
      <c r="H9" s="402"/>
      <c r="L9" s="1"/>
    </row>
    <row r="10" spans="1:15" ht="15">
      <c r="A10" s="1"/>
      <c r="B10" s="133" t="s">
        <v>617</v>
      </c>
      <c r="C10" s="400"/>
      <c r="D10" s="400"/>
      <c r="E10" s="407">
        <v>0.99919999999999998</v>
      </c>
      <c r="F10" s="133"/>
      <c r="G10" s="402"/>
      <c r="H10" s="402"/>
      <c r="L10" s="1"/>
    </row>
    <row r="11" spans="1:15" ht="15">
      <c r="A11" s="1"/>
      <c r="B11" s="133" t="s">
        <v>228</v>
      </c>
      <c r="C11" s="400"/>
      <c r="D11" s="400"/>
      <c r="E11" s="133"/>
      <c r="F11" s="403">
        <f>ROUND(E9*E10,4)</f>
        <v>6.4899999999999999E-2</v>
      </c>
      <c r="G11" s="402"/>
      <c r="L11" s="1"/>
    </row>
    <row r="12" spans="1:15" ht="15">
      <c r="A12" s="1"/>
      <c r="B12" s="133"/>
      <c r="C12" s="400"/>
      <c r="D12" s="400"/>
      <c r="E12" s="133"/>
      <c r="F12" s="403"/>
      <c r="G12" s="402"/>
      <c r="L12" s="1"/>
    </row>
    <row r="13" spans="1:15" ht="15">
      <c r="A13" s="1">
        <f>A9+1</f>
        <v>2</v>
      </c>
      <c r="B13" s="408" t="s">
        <v>800</v>
      </c>
      <c r="C13" s="400"/>
      <c r="D13" s="401"/>
      <c r="E13" s="406">
        <v>0.06</v>
      </c>
      <c r="F13" s="133"/>
      <c r="G13" s="402"/>
      <c r="L13" s="1"/>
    </row>
    <row r="14" spans="1:15" ht="15">
      <c r="A14" s="1"/>
      <c r="B14" s="133" t="s">
        <v>617</v>
      </c>
      <c r="C14" s="400"/>
      <c r="D14" s="400"/>
      <c r="E14" s="407">
        <v>3.3E-3</v>
      </c>
      <c r="F14" s="133"/>
      <c r="G14" s="402"/>
      <c r="L14" s="1"/>
    </row>
    <row r="15" spans="1:15" ht="15">
      <c r="A15" s="1"/>
      <c r="B15" s="133" t="s">
        <v>228</v>
      </c>
      <c r="C15" s="400"/>
      <c r="D15" s="400"/>
      <c r="E15" s="133"/>
      <c r="F15" s="403">
        <f>ROUND(E13*E14,4)</f>
        <v>2.0000000000000001E-4</v>
      </c>
      <c r="G15" s="402"/>
      <c r="L15" s="1"/>
    </row>
    <row r="16" spans="1:15" ht="15">
      <c r="A16" s="1"/>
      <c r="B16" s="133"/>
      <c r="C16" s="400"/>
      <c r="D16" s="400"/>
      <c r="E16" s="133"/>
      <c r="F16" s="403"/>
      <c r="G16" s="402"/>
      <c r="L16" s="1"/>
    </row>
    <row r="17" spans="1:12" ht="15">
      <c r="A17" s="1">
        <f>A13+1</f>
        <v>3</v>
      </c>
      <c r="B17" s="408" t="s">
        <v>105</v>
      </c>
      <c r="C17" s="400"/>
      <c r="D17" s="401"/>
      <c r="E17" s="406"/>
      <c r="F17" s="133"/>
      <c r="G17" s="402"/>
      <c r="L17" s="1"/>
    </row>
    <row r="18" spans="1:12" ht="15">
      <c r="A18" s="1"/>
      <c r="B18" s="133" t="s">
        <v>617</v>
      </c>
      <c r="C18" s="400"/>
      <c r="D18" s="400"/>
      <c r="E18" s="407"/>
      <c r="F18" s="133"/>
      <c r="G18" s="402"/>
      <c r="L18" s="1"/>
    </row>
    <row r="19" spans="1:12" ht="15">
      <c r="A19" s="1"/>
      <c r="B19" s="133" t="s">
        <v>228</v>
      </c>
      <c r="C19" s="400"/>
      <c r="D19" s="400"/>
      <c r="E19" s="133"/>
      <c r="F19" s="403">
        <f>ROUND(E17*E18,4)</f>
        <v>0</v>
      </c>
      <c r="G19" s="402"/>
      <c r="L19" s="1"/>
    </row>
    <row r="20" spans="1:12" ht="15">
      <c r="A20" s="1"/>
      <c r="B20" s="133"/>
      <c r="C20" s="400"/>
      <c r="D20" s="400"/>
      <c r="E20" s="133"/>
      <c r="F20" s="403"/>
      <c r="G20" s="402"/>
      <c r="L20" s="1"/>
    </row>
    <row r="21" spans="1:12" ht="15">
      <c r="A21" s="1">
        <f>A17+1</f>
        <v>4</v>
      </c>
      <c r="B21" s="408" t="s">
        <v>105</v>
      </c>
      <c r="C21" s="400"/>
      <c r="D21" s="401"/>
      <c r="E21" s="406"/>
      <c r="F21" s="133"/>
      <c r="G21" s="402"/>
      <c r="L21" s="1"/>
    </row>
    <row r="22" spans="1:12" ht="15">
      <c r="A22" s="1"/>
      <c r="B22" s="133" t="s">
        <v>617</v>
      </c>
      <c r="C22" s="400"/>
      <c r="D22" s="400"/>
      <c r="E22" s="407"/>
      <c r="F22" s="133"/>
      <c r="G22" s="402"/>
      <c r="L22" s="1"/>
    </row>
    <row r="23" spans="1:12" ht="15">
      <c r="A23" s="1"/>
      <c r="B23" s="133" t="s">
        <v>228</v>
      </c>
      <c r="C23" s="400"/>
      <c r="D23" s="400"/>
      <c r="E23" s="133"/>
      <c r="F23" s="403">
        <f>ROUND(E21*E22,4)</f>
        <v>0</v>
      </c>
      <c r="G23" s="402"/>
      <c r="L23" s="1"/>
    </row>
    <row r="24" spans="1:12" ht="15">
      <c r="A24" s="1"/>
      <c r="B24" s="133"/>
      <c r="C24" s="400"/>
      <c r="D24" s="400"/>
      <c r="E24" s="133"/>
      <c r="F24" s="403"/>
      <c r="G24" s="402"/>
      <c r="L24" s="1"/>
    </row>
    <row r="25" spans="1:12" ht="15">
      <c r="A25" s="1">
        <f>A21+1</f>
        <v>5</v>
      </c>
      <c r="B25" s="408" t="s">
        <v>105</v>
      </c>
      <c r="C25" s="400"/>
      <c r="D25" s="401"/>
      <c r="E25" s="406"/>
      <c r="F25" s="404"/>
      <c r="G25" s="402"/>
      <c r="L25" s="1"/>
    </row>
    <row r="26" spans="1:12" ht="15">
      <c r="A26" s="1"/>
      <c r="B26" s="133" t="s">
        <v>617</v>
      </c>
      <c r="C26" s="400"/>
      <c r="D26" s="400"/>
      <c r="E26" s="407"/>
      <c r="F26" s="404"/>
      <c r="G26" s="402"/>
      <c r="L26" s="1"/>
    </row>
    <row r="27" spans="1:12" ht="15">
      <c r="A27" s="1"/>
      <c r="B27" s="133" t="s">
        <v>228</v>
      </c>
      <c r="C27" s="400"/>
      <c r="D27" s="400"/>
      <c r="E27" s="133"/>
      <c r="F27" s="403">
        <f>ROUND(E25*E26,4)</f>
        <v>0</v>
      </c>
      <c r="G27" s="402"/>
      <c r="L27" s="1"/>
    </row>
    <row r="28" spans="1:12" ht="15">
      <c r="A28" s="1"/>
      <c r="B28" s="133"/>
      <c r="C28" s="400"/>
      <c r="D28" s="400"/>
      <c r="E28" s="400"/>
      <c r="F28" s="404"/>
      <c r="G28" s="402"/>
      <c r="L28" s="1"/>
    </row>
    <row r="29" spans="1:12" ht="15.75" thickBot="1">
      <c r="A29" s="1"/>
      <c r="B29" s="133" t="s">
        <v>485</v>
      </c>
      <c r="C29" s="133"/>
      <c r="D29" s="133"/>
      <c r="E29" s="133"/>
      <c r="F29" s="405">
        <f>ROUND(SUM(F11:F28),4)</f>
        <v>6.5100000000000005E-2</v>
      </c>
      <c r="G29" s="402"/>
      <c r="L29" s="1"/>
    </row>
    <row r="30" spans="1:12" ht="13.5" thickTop="1">
      <c r="A30" s="1"/>
      <c r="L30" s="1"/>
    </row>
    <row r="31" spans="1:12">
      <c r="A31" s="1"/>
      <c r="L31" s="1"/>
    </row>
    <row r="32" spans="1:12">
      <c r="A32" s="1"/>
      <c r="L32" s="1"/>
    </row>
    <row r="33" spans="1:12" ht="12.75" customHeight="1">
      <c r="A33" s="1"/>
      <c r="C33" s="133"/>
      <c r="D33" s="133"/>
      <c r="E33" s="133"/>
      <c r="F33" s="133"/>
      <c r="L33" s="1"/>
    </row>
    <row r="34" spans="1:12">
      <c r="A34" s="3" t="s">
        <v>287</v>
      </c>
      <c r="B34" s="3" t="s">
        <v>192</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16"/>
  <sheetViews>
    <sheetView tabSelected="1" topLeftCell="A36" zoomScale="70" zoomScaleNormal="70" zoomScalePageLayoutView="50" workbookViewId="0">
      <selection activeCell="L25" sqref="L25"/>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09" customWidth="1"/>
    <col min="16" max="16384" width="9.140625" style="50"/>
  </cols>
  <sheetData>
    <row r="1" spans="1:29" ht="15.75">
      <c r="A1" s="739" t="s">
        <v>406</v>
      </c>
    </row>
    <row r="2" spans="1:29" ht="15.75">
      <c r="A2" s="739" t="s">
        <v>406</v>
      </c>
    </row>
    <row r="3" spans="1:29" ht="18.75" customHeight="1">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140" t="str">
        <f>TCOS!$F$5</f>
        <v>AEPTCo subsidiaries in PJM</v>
      </c>
      <c r="K3" s="1140" t="str">
        <f>TCOS!$F$5</f>
        <v>AEPTCo subsidiaries in PJM</v>
      </c>
      <c r="L3" s="1140" t="str">
        <f>TCOS!$F$5</f>
        <v>AEPTCo subsidiaries in PJM</v>
      </c>
      <c r="M3" s="1140" t="str">
        <f>TCOS!$F$5</f>
        <v>AEPTCo subsidiaries in PJM</v>
      </c>
    </row>
    <row r="4" spans="1:29" ht="18.75" customHeight="1">
      <c r="A4" s="1141" t="str">
        <f>"Cost of Service Formula Rate Using Actual/Projected FF1 Balances"</f>
        <v>Cost of Service Formula Rate Using Actual/Projected FF1 Balances</v>
      </c>
      <c r="B4" s="1141"/>
      <c r="C4" s="1141"/>
      <c r="D4" s="1141"/>
      <c r="E4" s="1141"/>
      <c r="F4" s="1141"/>
      <c r="G4" s="1141"/>
      <c r="H4" s="1141"/>
      <c r="I4" s="1141"/>
      <c r="J4" s="1141"/>
      <c r="K4" s="1141"/>
      <c r="L4" s="1141"/>
      <c r="M4" s="1141"/>
    </row>
    <row r="5" spans="1:29" ht="18.75" customHeight="1">
      <c r="A5" s="1141" t="s">
        <v>247</v>
      </c>
      <c r="B5" s="1141"/>
      <c r="C5" s="1141"/>
      <c r="D5" s="1141"/>
      <c r="E5" s="1141"/>
      <c r="F5" s="1141"/>
      <c r="G5" s="1141"/>
      <c r="H5" s="1141"/>
      <c r="I5" s="1141"/>
      <c r="J5" s="1141"/>
      <c r="K5" s="1141"/>
      <c r="L5" s="1141"/>
      <c r="M5" s="1141"/>
    </row>
    <row r="6" spans="1:29" ht="18.75" customHeight="1">
      <c r="A6" s="1142" t="str">
        <f>TCOS!F9</f>
        <v>AEP Appalachian Transmission Company</v>
      </c>
      <c r="B6" s="1142"/>
      <c r="C6" s="1142"/>
      <c r="D6" s="1142"/>
      <c r="E6" s="1142"/>
      <c r="F6" s="1142"/>
      <c r="G6" s="1142"/>
      <c r="H6" s="1142"/>
      <c r="I6" s="1142"/>
      <c r="J6" s="1142"/>
      <c r="K6" s="1142"/>
      <c r="L6" s="1142"/>
      <c r="M6" s="1142"/>
    </row>
    <row r="7" spans="1:29" ht="18" customHeight="1">
      <c r="A7" s="1151"/>
      <c r="B7" s="1151"/>
      <c r="C7" s="1151"/>
      <c r="D7" s="1151"/>
      <c r="E7" s="1151"/>
      <c r="F7" s="1151"/>
      <c r="G7" s="1151"/>
      <c r="H7" s="1151"/>
      <c r="I7" s="1151"/>
      <c r="J7" s="1151"/>
      <c r="K7" s="1151"/>
      <c r="L7" s="1151"/>
      <c r="M7" s="1151"/>
    </row>
    <row r="8" spans="1:29" ht="18" customHeight="1">
      <c r="A8" s="1176"/>
      <c r="B8" s="1176"/>
      <c r="C8" s="1176"/>
      <c r="D8" s="1176"/>
      <c r="E8" s="1176"/>
      <c r="F8" s="1176"/>
      <c r="G8" s="1176"/>
      <c r="H8" s="1176"/>
      <c r="I8" s="1176"/>
      <c r="J8" s="1176"/>
      <c r="K8" s="1176"/>
      <c r="L8" s="1176"/>
      <c r="M8" s="1176"/>
    </row>
    <row r="9" spans="1:29" ht="18" customHeight="1">
      <c r="A9" s="67"/>
      <c r="B9" s="67"/>
      <c r="C9" s="67"/>
      <c r="D9" s="67"/>
      <c r="E9" s="67"/>
      <c r="F9" s="67"/>
      <c r="G9" s="67"/>
      <c r="H9" s="67"/>
      <c r="I9" s="67"/>
      <c r="J9" s="67"/>
      <c r="K9" s="67"/>
      <c r="L9" s="67"/>
      <c r="M9" s="67"/>
    </row>
    <row r="10" spans="1:29" ht="19.5" customHeight="1">
      <c r="A10" s="52"/>
      <c r="B10" s="51"/>
      <c r="C10" s="15" t="s">
        <v>452</v>
      </c>
      <c r="E10" s="15" t="s">
        <v>453</v>
      </c>
      <c r="G10" s="15" t="s">
        <v>454</v>
      </c>
      <c r="I10" s="15" t="s">
        <v>455</v>
      </c>
      <c r="K10" s="15" t="s">
        <v>375</v>
      </c>
      <c r="M10" s="15" t="s">
        <v>376</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459</v>
      </c>
      <c r="B12" s="81"/>
      <c r="C12" s="81"/>
      <c r="D12" s="81"/>
      <c r="E12" s="82" t="s">
        <v>410</v>
      </c>
      <c r="F12" s="80"/>
      <c r="G12" s="80"/>
      <c r="H12" s="80"/>
      <c r="I12" s="80"/>
      <c r="J12" s="80"/>
      <c r="K12" s="54"/>
      <c r="L12" s="54"/>
      <c r="M12" s="410"/>
    </row>
    <row r="13" spans="1:29" ht="19.5">
      <c r="A13" s="83" t="s">
        <v>409</v>
      </c>
      <c r="B13" s="81"/>
      <c r="C13" s="83" t="s">
        <v>102</v>
      </c>
      <c r="D13" s="81"/>
      <c r="E13" s="84" t="s">
        <v>473</v>
      </c>
      <c r="F13" s="80"/>
      <c r="G13" s="83" t="s">
        <v>106</v>
      </c>
      <c r="H13" s="80"/>
      <c r="I13" s="83" t="s">
        <v>451</v>
      </c>
      <c r="J13" s="80"/>
      <c r="K13" s="411" t="s">
        <v>471</v>
      </c>
      <c r="L13" s="412"/>
      <c r="M13" s="411" t="s">
        <v>107</v>
      </c>
    </row>
    <row r="14" spans="1:29" ht="19.5">
      <c r="A14" s="52"/>
      <c r="B14" s="51"/>
      <c r="C14" s="49"/>
      <c r="D14" s="49"/>
      <c r="E14" s="49" t="s">
        <v>325</v>
      </c>
      <c r="F14" s="49"/>
      <c r="G14" s="49"/>
      <c r="H14" s="49"/>
      <c r="I14" s="49"/>
      <c r="J14" s="49"/>
      <c r="K14" s="48"/>
      <c r="L14" s="48"/>
    </row>
    <row r="15" spans="1:29" ht="19.5">
      <c r="A15" s="52"/>
      <c r="B15" s="51"/>
      <c r="C15" s="51"/>
      <c r="D15" s="51"/>
      <c r="E15" s="413"/>
      <c r="F15" s="51"/>
      <c r="G15" s="51"/>
      <c r="H15" s="51"/>
      <c r="I15" s="414"/>
      <c r="J15" s="51"/>
      <c r="K15" s="48"/>
      <c r="L15" s="48"/>
    </row>
    <row r="16" spans="1:29" ht="19.5">
      <c r="A16" s="52">
        <v>1</v>
      </c>
      <c r="B16" s="51"/>
      <c r="C16" s="53" t="s">
        <v>118</v>
      </c>
      <c r="D16" s="51"/>
      <c r="E16" s="48"/>
      <c r="F16" s="48"/>
      <c r="G16" s="66"/>
      <c r="H16" s="66"/>
      <c r="I16" s="66"/>
      <c r="J16" s="66"/>
      <c r="K16" s="66"/>
      <c r="L16" s="66"/>
      <c r="M16" s="66"/>
    </row>
    <row r="17" spans="1:15" ht="19.5">
      <c r="A17" s="52">
        <f>+A16+1</f>
        <v>2</v>
      </c>
      <c r="B17" s="51"/>
      <c r="C17" s="51" t="s">
        <v>103</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119</v>
      </c>
      <c r="D19" s="51"/>
      <c r="E19" s="48"/>
      <c r="F19" s="48"/>
      <c r="G19" s="66"/>
      <c r="H19" s="66"/>
      <c r="I19" s="66"/>
      <c r="J19" s="66"/>
      <c r="K19" s="66"/>
      <c r="L19" s="66"/>
      <c r="M19" s="66"/>
    </row>
    <row r="20" spans="1:15" ht="19.5">
      <c r="A20" s="52">
        <f>+A19+1</f>
        <v>4</v>
      </c>
      <c r="B20" s="51"/>
      <c r="C20" s="51" t="s">
        <v>609</v>
      </c>
      <c r="D20" s="51"/>
      <c r="E20" s="66">
        <f>'WS H-p2 Detail of Tax Amts'!E23</f>
        <v>0</v>
      </c>
      <c r="F20" s="51"/>
      <c r="G20" s="66">
        <f>+E20</f>
        <v>0</v>
      </c>
      <c r="H20" s="66"/>
      <c r="I20" s="66"/>
      <c r="J20" s="66"/>
      <c r="K20" s="66"/>
      <c r="L20" s="66"/>
      <c r="M20" s="66"/>
      <c r="O20"/>
    </row>
    <row r="21" spans="1:15" ht="19.5">
      <c r="A21" s="52">
        <f>+A20+1</f>
        <v>5</v>
      </c>
      <c r="B21" s="51"/>
      <c r="C21" s="51" t="s">
        <v>610</v>
      </c>
      <c r="D21" s="51"/>
      <c r="E21" s="66">
        <f>'WS H-p2 Detail of Tax Amts'!E30</f>
        <v>0</v>
      </c>
      <c r="F21" s="51"/>
      <c r="G21" s="66">
        <f>+E21</f>
        <v>0</v>
      </c>
      <c r="H21" s="66"/>
      <c r="I21" s="66"/>
      <c r="J21" s="66"/>
      <c r="K21" s="66"/>
      <c r="L21" s="66"/>
      <c r="M21" s="66"/>
      <c r="O21"/>
    </row>
    <row r="22" spans="1:15" ht="19.5">
      <c r="A22" s="52">
        <f>+A21+1</f>
        <v>6</v>
      </c>
      <c r="B22" s="51"/>
      <c r="C22" s="51" t="s">
        <v>611</v>
      </c>
      <c r="D22" s="51"/>
      <c r="E22" s="66">
        <f>'WS H-p2 Detail of Tax Amts'!E37</f>
        <v>895429.99999999977</v>
      </c>
      <c r="F22" s="51"/>
      <c r="G22" s="66">
        <f>+E22</f>
        <v>895429.99999999977</v>
      </c>
      <c r="H22" s="66"/>
      <c r="I22" s="66"/>
      <c r="J22" s="66"/>
      <c r="K22" s="66"/>
      <c r="L22" s="66"/>
      <c r="M22" s="66"/>
      <c r="O22"/>
    </row>
    <row r="23" spans="1:15" ht="19.5">
      <c r="A23" s="52">
        <f>+A22+1</f>
        <v>7</v>
      </c>
      <c r="B23" s="51"/>
      <c r="C23" s="51" t="s">
        <v>243</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5"/>
    </row>
    <row r="25" spans="1:15" ht="19.5">
      <c r="A25" s="52">
        <f>+A23+1</f>
        <v>8</v>
      </c>
      <c r="B25" s="51"/>
      <c r="C25" s="53" t="s">
        <v>120</v>
      </c>
      <c r="D25" s="51"/>
      <c r="E25" s="48"/>
      <c r="F25" s="48"/>
      <c r="G25" s="66"/>
      <c r="H25" s="66"/>
      <c r="I25" s="66"/>
      <c r="J25" s="66"/>
      <c r="K25" s="66"/>
      <c r="L25" s="66"/>
      <c r="M25" s="66"/>
      <c r="O25" s="415"/>
    </row>
    <row r="26" spans="1:15" ht="19.5">
      <c r="A26" s="52">
        <f>+A25+1</f>
        <v>9</v>
      </c>
      <c r="B26" s="51"/>
      <c r="C26" s="51" t="s">
        <v>116</v>
      </c>
      <c r="D26" s="51"/>
      <c r="E26" s="66">
        <f>+'WS H-p2 Detail of Tax Amts'!E50</f>
        <v>0</v>
      </c>
      <c r="F26" s="48"/>
      <c r="G26" s="66"/>
      <c r="H26" s="66"/>
      <c r="I26" s="66">
        <f>+E26</f>
        <v>0</v>
      </c>
      <c r="J26" s="66"/>
      <c r="K26" s="66"/>
      <c r="L26" s="66"/>
      <c r="M26" s="66"/>
      <c r="O26" s="415"/>
    </row>
    <row r="27" spans="1:15" ht="19.5">
      <c r="A27" s="52">
        <f>+A26+1</f>
        <v>10</v>
      </c>
      <c r="B27" s="51"/>
      <c r="C27" s="51" t="s">
        <v>109</v>
      </c>
      <c r="D27" s="51"/>
      <c r="E27" s="66">
        <f>+'WS H-p2 Detail of Tax Amts'!E52</f>
        <v>0</v>
      </c>
      <c r="F27" s="48"/>
      <c r="G27" s="48"/>
      <c r="H27" s="48"/>
      <c r="I27" s="66">
        <f>+E27</f>
        <v>0</v>
      </c>
      <c r="J27" s="51"/>
      <c r="K27" s="48"/>
      <c r="L27" s="48"/>
      <c r="M27" s="66"/>
    </row>
    <row r="28" spans="1:15" ht="19.5">
      <c r="A28" s="52">
        <f>+A27+1</f>
        <v>11</v>
      </c>
      <c r="B28" s="51"/>
      <c r="C28" s="51" t="s">
        <v>110</v>
      </c>
      <c r="D28" s="51"/>
      <c r="E28" s="66">
        <f>+'WS H-p2 Detail of Tax Amts'!E54</f>
        <v>0</v>
      </c>
      <c r="F28" s="48"/>
      <c r="G28" s="48"/>
      <c r="H28" s="48"/>
      <c r="I28" s="66">
        <f>+E28</f>
        <v>0</v>
      </c>
      <c r="J28" s="413"/>
      <c r="K28" s="48"/>
      <c r="L28" s="48"/>
      <c r="M28" s="66"/>
    </row>
    <row r="29" spans="1:15" ht="19.5">
      <c r="A29" s="52" t="s">
        <v>406</v>
      </c>
      <c r="B29" s="51"/>
      <c r="C29" s="48"/>
      <c r="D29" s="51"/>
      <c r="E29" s="48"/>
      <c r="F29" s="48"/>
      <c r="G29" s="48"/>
      <c r="H29" s="48"/>
      <c r="I29" s="416"/>
      <c r="J29" s="417"/>
      <c r="K29" s="418"/>
      <c r="L29" s="418"/>
      <c r="M29" s="66"/>
    </row>
    <row r="30" spans="1:15" ht="19.5">
      <c r="A30" s="52">
        <f>A28+1</f>
        <v>12</v>
      </c>
      <c r="B30" s="51"/>
      <c r="C30" s="419" t="s">
        <v>312</v>
      </c>
      <c r="D30" s="51"/>
      <c r="E30" s="107"/>
      <c r="F30" s="107"/>
      <c r="G30" s="107"/>
      <c r="H30" s="107"/>
      <c r="I30" s="420"/>
      <c r="J30" s="421"/>
      <c r="K30" s="422"/>
      <c r="L30" s="422"/>
      <c r="M30" s="423"/>
    </row>
    <row r="31" spans="1:15" ht="19.5">
      <c r="A31" s="52">
        <f>A30+1</f>
        <v>13</v>
      </c>
      <c r="B31" s="51"/>
      <c r="C31" s="51" t="s">
        <v>214</v>
      </c>
      <c r="D31" s="89"/>
      <c r="E31" s="66">
        <f>+'WS H-p2 Detail of Tax Amts'!E59</f>
        <v>0</v>
      </c>
      <c r="F31" s="48"/>
      <c r="G31" s="48"/>
      <c r="H31" s="48"/>
      <c r="I31" s="416"/>
      <c r="J31" s="417"/>
      <c r="K31" s="418"/>
      <c r="L31" s="418"/>
      <c r="M31" s="66">
        <f>E31</f>
        <v>0</v>
      </c>
    </row>
    <row r="32" spans="1:15" ht="19.5">
      <c r="A32" s="52"/>
      <c r="B32" s="51"/>
      <c r="C32" s="48"/>
      <c r="D32" s="51"/>
      <c r="E32" s="48"/>
      <c r="F32" s="48"/>
      <c r="G32" s="48"/>
      <c r="H32" s="48"/>
      <c r="I32" s="416"/>
      <c r="J32" s="417"/>
      <c r="K32" s="418"/>
      <c r="L32" s="418"/>
      <c r="M32" s="66"/>
    </row>
    <row r="33" spans="1:13" ht="19.5">
      <c r="A33" s="56">
        <f>A31+1</f>
        <v>14</v>
      </c>
      <c r="B33" s="57"/>
      <c r="C33" s="53" t="s">
        <v>117</v>
      </c>
      <c r="D33" s="58"/>
      <c r="E33" s="48"/>
      <c r="F33" s="48"/>
      <c r="G33" s="66"/>
      <c r="H33" s="66"/>
      <c r="I33" s="66"/>
      <c r="J33" s="66"/>
      <c r="K33" s="66"/>
      <c r="L33" s="66"/>
      <c r="M33" s="66"/>
    </row>
    <row r="34" spans="1:13" ht="19.5">
      <c r="A34" s="56">
        <f>A33+1</f>
        <v>15</v>
      </c>
      <c r="B34" s="57"/>
      <c r="C34" s="51" t="s">
        <v>213</v>
      </c>
      <c r="D34" s="58"/>
      <c r="E34" s="66">
        <f>+'WS H-p2 Detail of Tax Amts'!E62</f>
        <v>0</v>
      </c>
      <c r="F34" s="48"/>
      <c r="G34" s="66"/>
      <c r="H34" s="66"/>
      <c r="I34" s="66"/>
      <c r="J34" s="66"/>
      <c r="K34" s="66"/>
      <c r="L34" s="66"/>
      <c r="M34" s="66">
        <f>E34</f>
        <v>0</v>
      </c>
    </row>
    <row r="35" spans="1:13" ht="19.5">
      <c r="A35" s="52">
        <f>A34+1</f>
        <v>16</v>
      </c>
      <c r="B35" s="51"/>
      <c r="C35" s="51" t="s">
        <v>111</v>
      </c>
      <c r="D35" s="51"/>
      <c r="E35" s="66">
        <f>+'WS H-p2 Detail of Tax Amts'!E65</f>
        <v>0</v>
      </c>
      <c r="F35" s="48"/>
      <c r="G35" s="66"/>
      <c r="H35" s="66"/>
      <c r="I35" s="66"/>
      <c r="J35" s="66"/>
      <c r="K35" s="66">
        <f>+E35</f>
        <v>0</v>
      </c>
      <c r="L35" s="66"/>
      <c r="M35" s="66"/>
    </row>
    <row r="36" spans="1:13" ht="19.5">
      <c r="A36" s="52">
        <f t="shared" ref="A36:A41" si="0">+A35+1</f>
        <v>17</v>
      </c>
      <c r="B36" s="51"/>
      <c r="C36" s="51" t="s">
        <v>112</v>
      </c>
      <c r="D36"/>
      <c r="E36" s="66">
        <f>+'WS H-p2 Detail of Tax Amts'!E69</f>
        <v>118079.00000000003</v>
      </c>
      <c r="F36" s="48"/>
      <c r="G36" s="66"/>
      <c r="H36" s="66"/>
      <c r="I36" s="66"/>
      <c r="J36" s="66"/>
      <c r="K36" s="66">
        <f>+E36</f>
        <v>118079.00000000003</v>
      </c>
      <c r="L36" s="66"/>
      <c r="M36" s="66"/>
    </row>
    <row r="37" spans="1:13" ht="19.5">
      <c r="A37" s="52">
        <f>+A36+1</f>
        <v>18</v>
      </c>
      <c r="B37" s="51"/>
      <c r="C37" s="51" t="s">
        <v>113</v>
      </c>
      <c r="D37"/>
      <c r="E37" s="66">
        <f>'WS H-p2 Detail of Tax Amts'!E81</f>
        <v>0</v>
      </c>
      <c r="F37" s="48"/>
      <c r="G37" s="66"/>
      <c r="H37" s="66"/>
      <c r="I37" s="66"/>
      <c r="J37" s="66"/>
      <c r="K37" s="66">
        <f>+E37</f>
        <v>0</v>
      </c>
      <c r="L37" s="66"/>
      <c r="M37" s="66"/>
    </row>
    <row r="38" spans="1:13" ht="19.5">
      <c r="A38" s="52">
        <f t="shared" si="0"/>
        <v>19</v>
      </c>
      <c r="B38" s="51"/>
      <c r="C38" s="51" t="s">
        <v>114</v>
      </c>
      <c r="D38" s="51"/>
      <c r="E38" s="66">
        <f>+'WS H-p2 Detail of Tax Amts'!E86</f>
        <v>0</v>
      </c>
      <c r="F38" s="48"/>
      <c r="G38" s="66"/>
      <c r="H38" s="66"/>
      <c r="I38" s="66"/>
      <c r="J38" s="66"/>
      <c r="K38" s="66">
        <f>+E38</f>
        <v>0</v>
      </c>
      <c r="L38" s="66"/>
      <c r="M38" s="66"/>
    </row>
    <row r="39" spans="1:13" ht="19.5">
      <c r="A39" s="52">
        <f t="shared" si="0"/>
        <v>20</v>
      </c>
      <c r="B39" s="51"/>
      <c r="C39" s="51" t="s">
        <v>115</v>
      </c>
      <c r="D39" s="51"/>
      <c r="E39" s="66">
        <f>+'WS H-p2 Detail of Tax Amts'!E89</f>
        <v>0</v>
      </c>
      <c r="F39" s="48"/>
      <c r="G39" s="66"/>
      <c r="H39" s="66"/>
      <c r="I39" s="66"/>
      <c r="J39" s="66"/>
      <c r="K39" s="66"/>
      <c r="L39" s="66"/>
      <c r="M39" s="66">
        <f>+E39</f>
        <v>0</v>
      </c>
    </row>
    <row r="40" spans="1:13" ht="19.5">
      <c r="A40" s="52">
        <f t="shared" si="0"/>
        <v>21</v>
      </c>
      <c r="B40" s="48"/>
      <c r="C40" s="51" t="s">
        <v>104</v>
      </c>
      <c r="D40" s="48"/>
      <c r="E40" s="66">
        <f>+'WS H-p2 Detail of Tax Amts'!E95</f>
        <v>0</v>
      </c>
      <c r="F40" s="48"/>
      <c r="G40" s="66"/>
      <c r="H40" s="66"/>
      <c r="I40" s="66"/>
      <c r="J40" s="66"/>
      <c r="K40" s="66"/>
      <c r="L40" s="66"/>
      <c r="M40" s="66">
        <f>+E40</f>
        <v>0</v>
      </c>
    </row>
    <row r="41" spans="1:13" ht="19.5">
      <c r="A41" s="52">
        <f t="shared" si="0"/>
        <v>22</v>
      </c>
      <c r="B41" s="48"/>
      <c r="C41" s="51" t="s">
        <v>398</v>
      </c>
      <c r="D41" s="48"/>
      <c r="E41" s="66">
        <v>0</v>
      </c>
      <c r="F41" s="48"/>
      <c r="G41" s="66"/>
      <c r="H41" s="66"/>
      <c r="I41" s="66"/>
      <c r="J41" s="66"/>
      <c r="K41" s="66"/>
      <c r="L41" s="66"/>
      <c r="M41" s="66">
        <f>+E41</f>
        <v>0</v>
      </c>
    </row>
    <row r="42" spans="1:13" ht="19.5">
      <c r="A42" s="3"/>
      <c r="B42" s="41"/>
      <c r="C42" s="51"/>
      <c r="D42"/>
      <c r="E42"/>
      <c r="F42" s="48"/>
      <c r="H42" s="424"/>
      <c r="I42" s="425"/>
      <c r="J42" s="425"/>
      <c r="K42" s="418"/>
      <c r="L42" s="426"/>
      <c r="M42" s="426"/>
    </row>
    <row r="43" spans="1:13" ht="20.25" thickBot="1">
      <c r="A43" s="95">
        <f>+A41+1</f>
        <v>23</v>
      </c>
      <c r="B43" s="41"/>
      <c r="C43" s="51" t="s">
        <v>108</v>
      </c>
      <c r="D43"/>
      <c r="E43" s="427">
        <f>SUM(E17:E41)</f>
        <v>1013508.9999999998</v>
      </c>
      <c r="F43" s="48"/>
      <c r="G43" s="427">
        <f>SUM(G17:G41)</f>
        <v>895429.99999999977</v>
      </c>
      <c r="H43" s="424"/>
      <c r="I43" s="427">
        <f>SUM(I17:I41)</f>
        <v>0</v>
      </c>
      <c r="J43" s="425"/>
      <c r="K43" s="427">
        <f>SUM(K17:K41)</f>
        <v>118079.00000000003</v>
      </c>
      <c r="L43" s="426"/>
      <c r="M43" s="427">
        <f>SUM(M17:M41)</f>
        <v>0</v>
      </c>
    </row>
    <row r="44" spans="1:13" ht="20.25" thickTop="1">
      <c r="A44" s="3"/>
      <c r="B44" s="41"/>
      <c r="C44" s="51" t="s">
        <v>173</v>
      </c>
      <c r="D44"/>
      <c r="E44"/>
      <c r="F44" s="48"/>
      <c r="G44" s="424"/>
      <c r="H44" s="424"/>
      <c r="I44" s="425"/>
      <c r="J44" s="156"/>
      <c r="K44" s="426"/>
      <c r="L44" s="426"/>
      <c r="M44" s="426"/>
    </row>
    <row r="45" spans="1:13" ht="19.5">
      <c r="A45" s="3"/>
      <c r="B45" s="41"/>
      <c r="C45" s="51" t="s">
        <v>5</v>
      </c>
      <c r="D45"/>
      <c r="E45"/>
      <c r="F45" s="48"/>
      <c r="G45" s="424"/>
      <c r="H45" s="424"/>
      <c r="I45" s="425"/>
      <c r="J45" s="156"/>
      <c r="K45" s="426"/>
      <c r="L45" s="426"/>
      <c r="M45" s="426"/>
    </row>
    <row r="46" spans="1:13" ht="19.5">
      <c r="A46" s="3"/>
      <c r="B46" s="41"/>
      <c r="C46" s="1178" t="s">
        <v>242</v>
      </c>
      <c r="D46" s="1178"/>
      <c r="E46" s="1178"/>
      <c r="F46" s="1178"/>
      <c r="G46" s="1178"/>
      <c r="H46" s="1178"/>
      <c r="I46" s="1178"/>
      <c r="J46" s="1178"/>
      <c r="K46" s="1178"/>
      <c r="L46" s="1178"/>
      <c r="M46" s="1178"/>
    </row>
    <row r="47" spans="1:13" ht="78">
      <c r="A47" s="52"/>
      <c r="C47" s="48"/>
      <c r="D47" s="48"/>
      <c r="E47" s="428" t="s">
        <v>313</v>
      </c>
      <c r="G47" s="429" t="s">
        <v>407</v>
      </c>
      <c r="H47" s="429"/>
      <c r="I47" s="428" t="s">
        <v>314</v>
      </c>
      <c r="J47" s="429"/>
      <c r="K47" s="429" t="s">
        <v>128</v>
      </c>
      <c r="L47" s="429"/>
      <c r="M47" s="429" t="s">
        <v>410</v>
      </c>
    </row>
    <row r="48" spans="1:13" ht="19.5">
      <c r="A48" s="52">
        <f>+A43+1</f>
        <v>24</v>
      </c>
      <c r="C48" s="107" t="str">
        <f>"Functionalized Net Plant (TCOS, Lns "&amp;TCOS!B83&amp;" thru "&amp;TCOS!B87&amp;")"</f>
        <v>Functionalized Net Plant (TCOS, Lns 33 thru 36)</v>
      </c>
      <c r="D48" s="48"/>
      <c r="E48" s="430">
        <v>0</v>
      </c>
      <c r="F48" s="107"/>
      <c r="G48" s="430">
        <f>+TCOS!G83</f>
        <v>140848753.40974069</v>
      </c>
      <c r="H48" s="107"/>
      <c r="I48" s="430">
        <v>0</v>
      </c>
      <c r="J48" s="107"/>
      <c r="K48" s="430">
        <f>+TCOS!G84</f>
        <v>1306547.2015105679</v>
      </c>
      <c r="L48" s="48"/>
      <c r="M48" s="431">
        <f>SUM(E48:K48)</f>
        <v>142155300.61125126</v>
      </c>
    </row>
    <row r="49" spans="1:21" ht="19.5">
      <c r="A49" s="52"/>
      <c r="C49" s="54" t="s">
        <v>612</v>
      </c>
      <c r="D49" s="48"/>
      <c r="E49" s="431"/>
      <c r="F49" s="48"/>
      <c r="G49" s="432"/>
      <c r="H49" s="48"/>
      <c r="I49" s="431"/>
      <c r="J49" s="48"/>
      <c r="K49" s="431"/>
      <c r="L49" s="48"/>
      <c r="M49" s="433"/>
    </row>
    <row r="50" spans="1:21" ht="19.5">
      <c r="A50" s="52">
        <f>+A48+1</f>
        <v>25</v>
      </c>
      <c r="C50" s="48" t="str">
        <f>"Percentage of Plant in "&amp;C49&amp;""</f>
        <v>Percentage of Plant in WEST VIRGINIA JURISDICTION</v>
      </c>
      <c r="D50" s="48"/>
      <c r="E50" s="445"/>
      <c r="F50" s="434"/>
      <c r="G50" s="445"/>
      <c r="H50" s="434"/>
      <c r="I50" s="445"/>
      <c r="J50" s="434"/>
      <c r="K50" s="445"/>
      <c r="L50" s="48"/>
      <c r="M50" s="433"/>
    </row>
    <row r="51" spans="1:21" ht="19.5">
      <c r="A51" s="52">
        <f t="shared" ref="A51:A58" si="1">+A50+1</f>
        <v>26</v>
      </c>
      <c r="C51" s="107" t="str">
        <f>"Net Plant in "&amp;C49&amp;" (Ln "&amp;A48&amp;" * Ln "&amp;A50&amp;")"</f>
        <v>Net Plant in WEST VIRGINIA JURISDICTION (Ln 24 * Ln 25)</v>
      </c>
      <c r="D51" s="48"/>
      <c r="E51" s="431">
        <f>+E48*E50</f>
        <v>0</v>
      </c>
      <c r="F51" s="48"/>
      <c r="G51" s="431">
        <f>+G48*G50</f>
        <v>0</v>
      </c>
      <c r="H51" s="48"/>
      <c r="I51" s="431">
        <f>+I48*I50</f>
        <v>0</v>
      </c>
      <c r="J51" s="48"/>
      <c r="K51" s="431">
        <f>+K48*K50</f>
        <v>0</v>
      </c>
      <c r="L51" s="48"/>
      <c r="M51" s="431">
        <f>SUM(E51:K51)</f>
        <v>0</v>
      </c>
      <c r="O51"/>
    </row>
    <row r="52" spans="1:21" ht="19.5">
      <c r="A52" s="52">
        <f t="shared" si="1"/>
        <v>27</v>
      </c>
      <c r="C52" s="107" t="s">
        <v>541</v>
      </c>
      <c r="D52" s="48"/>
      <c r="E52" s="445"/>
      <c r="F52" s="48"/>
      <c r="G52" s="435"/>
      <c r="H52" s="48"/>
      <c r="I52" s="435"/>
      <c r="J52" s="48"/>
      <c r="K52" s="435"/>
      <c r="L52" s="48"/>
      <c r="M52" s="431"/>
      <c r="O52"/>
    </row>
    <row r="53" spans="1:21" ht="19.5">
      <c r="A53" s="52">
        <f t="shared" si="1"/>
        <v>28</v>
      </c>
      <c r="C53" s="48" t="str">
        <f>"Taxable Property Basis (Ln "&amp;A51&amp;" - Ln "&amp;A52&amp;")"</f>
        <v>Taxable Property Basis (Ln 26 - Ln 27)</v>
      </c>
      <c r="D53" s="48"/>
      <c r="E53" s="431">
        <f>+E51-E52</f>
        <v>0</v>
      </c>
      <c r="F53" s="48"/>
      <c r="G53" s="431">
        <f>+G51-G52</f>
        <v>0</v>
      </c>
      <c r="H53" s="48"/>
      <c r="I53" s="431">
        <f>+I51-I52</f>
        <v>0</v>
      </c>
      <c r="J53" s="48"/>
      <c r="K53" s="431">
        <f>+K51-K52</f>
        <v>0</v>
      </c>
      <c r="L53" s="48"/>
      <c r="M53" s="431">
        <f>SUM(E53:K53)</f>
        <v>0</v>
      </c>
      <c r="O53"/>
    </row>
    <row r="54" spans="1:21" ht="19.5">
      <c r="A54" s="52">
        <f t="shared" si="1"/>
        <v>29</v>
      </c>
      <c r="C54" s="66" t="s">
        <v>240</v>
      </c>
      <c r="D54" s="48"/>
      <c r="E54" s="445"/>
      <c r="F54" s="434"/>
      <c r="G54" s="445"/>
      <c r="H54" s="434"/>
      <c r="I54" s="445"/>
      <c r="J54" s="434"/>
      <c r="K54" s="445"/>
      <c r="L54" s="48"/>
      <c r="M54" s="431">
        <f>SUM(E54:K54)</f>
        <v>0</v>
      </c>
      <c r="O54"/>
    </row>
    <row r="55" spans="1:21" ht="19.5">
      <c r="A55" s="52">
        <f t="shared" si="1"/>
        <v>30</v>
      </c>
      <c r="C55" s="107" t="str">
        <f>"Weighted Net Plant (Ln "&amp;A53&amp;" * Ln "&amp;A54&amp;")"</f>
        <v>Weighted Net Plant (Ln 28 * Ln 29)</v>
      </c>
      <c r="D55" s="48"/>
      <c r="E55" s="431">
        <f>+E53*E54</f>
        <v>0</v>
      </c>
      <c r="F55" s="48"/>
      <c r="G55" s="431">
        <f>+G53*G54</f>
        <v>0</v>
      </c>
      <c r="H55" s="48"/>
      <c r="I55" s="431">
        <f>+I53*I54</f>
        <v>0</v>
      </c>
      <c r="J55" s="48"/>
      <c r="K55" s="431">
        <f>+K53*K54</f>
        <v>0</v>
      </c>
      <c r="L55" s="48"/>
      <c r="M55" s="431"/>
      <c r="O55"/>
      <c r="P55"/>
      <c r="Q55"/>
      <c r="R55"/>
      <c r="S55"/>
      <c r="T55"/>
      <c r="U55"/>
    </row>
    <row r="56" spans="1:21" ht="19.5">
      <c r="A56" s="52">
        <f t="shared" si="1"/>
        <v>31</v>
      </c>
      <c r="C56" s="48" t="str">
        <f>+"General Plant Allocator (Ln "&amp;A55&amp;" / (Total - General Plant))"</f>
        <v>General Plant Allocator (Ln 30 / (Total - General Plant))</v>
      </c>
      <c r="D56" s="48"/>
      <c r="E56" s="436">
        <f>IF(E54=0,0,+E55/($E55+$G55+$I55))</f>
        <v>0</v>
      </c>
      <c r="F56" s="48"/>
      <c r="G56" s="436">
        <v>1</v>
      </c>
      <c r="H56" s="48"/>
      <c r="I56" s="436">
        <f>IF(I54=0,0,+I55/($E55+$G55+$I55))</f>
        <v>0</v>
      </c>
      <c r="J56" s="48"/>
      <c r="K56" s="436">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37">
        <f>ROUND($K55*E56,0)</f>
        <v>0</v>
      </c>
      <c r="F57" s="48"/>
      <c r="G57" s="437">
        <f>+G56*K55</f>
        <v>0</v>
      </c>
      <c r="H57" s="48"/>
      <c r="I57" s="437">
        <f>ROUND($K55*I56,0)</f>
        <v>0</v>
      </c>
      <c r="J57" s="48"/>
      <c r="K57" s="437">
        <f>ROUND($K55*K56,0)</f>
        <v>0</v>
      </c>
      <c r="L57" s="48"/>
      <c r="M57" s="431">
        <f>IF(SUM(E57:K57)&lt;&gt;0,0,0)</f>
        <v>0</v>
      </c>
      <c r="O57"/>
      <c r="P57"/>
      <c r="Q57"/>
      <c r="R57"/>
      <c r="S57"/>
      <c r="T57"/>
      <c r="U57"/>
    </row>
    <row r="58" spans="1:21" ht="19.5">
      <c r="A58" s="52">
        <f t="shared" si="1"/>
        <v>33</v>
      </c>
      <c r="C58" s="48" t="str">
        <f>"Weighted "&amp;C49&amp;" Plant (Ln "&amp;A55&amp;" + "&amp;A57&amp;")"</f>
        <v>Weighted WEST VIRGINIA JURISDICTION Plant (Ln 30 + 32)</v>
      </c>
      <c r="D58" s="48"/>
      <c r="E58" s="431">
        <f>+E55+E57</f>
        <v>0</v>
      </c>
      <c r="F58" s="48"/>
      <c r="G58" s="431">
        <f>+G55+G57</f>
        <v>0</v>
      </c>
      <c r="H58" s="48"/>
      <c r="I58" s="431">
        <f>+I55+I57</f>
        <v>0</v>
      </c>
      <c r="J58" s="48"/>
      <c r="K58" s="431">
        <f>+K55+K57</f>
        <v>0</v>
      </c>
      <c r="L58" s="48"/>
      <c r="M58" s="431">
        <f>SUM(E58:K58)-SUM(E57:K57)</f>
        <v>0</v>
      </c>
      <c r="O58"/>
    </row>
    <row r="59" spans="1:21" ht="19.5">
      <c r="A59" s="52">
        <f>+A58+1</f>
        <v>34</v>
      </c>
      <c r="C59" s="48" t="str">
        <f>"Functional Percentage (Ln "&amp;A58&amp;"/Total Ln "&amp;A58&amp;")"</f>
        <v>Functional Percentage (Ln 33/Total Ln 33)</v>
      </c>
      <c r="D59" s="48"/>
      <c r="E59" s="432">
        <f>IF(E58=0,0,+E58/$M$58)</f>
        <v>0</v>
      </c>
      <c r="F59" s="48"/>
      <c r="G59" s="432">
        <v>1</v>
      </c>
      <c r="H59" s="48"/>
      <c r="I59" s="432">
        <f>IF(I58=0,0,+I58/$M$58)</f>
        <v>0</v>
      </c>
      <c r="J59" s="48"/>
      <c r="K59"/>
      <c r="L59" s="48"/>
      <c r="M59" s="431"/>
      <c r="O59"/>
    </row>
    <row r="60" spans="1:21" ht="19.5">
      <c r="A60" s="52"/>
      <c r="C60" s="442" t="s">
        <v>613</v>
      </c>
      <c r="D60" s="48"/>
      <c r="E60" s="431"/>
      <c r="F60" s="48"/>
      <c r="G60" s="438"/>
      <c r="H60" s="48"/>
      <c r="I60" s="431"/>
      <c r="J60" s="48"/>
      <c r="K60" s="432"/>
      <c r="L60" s="48"/>
      <c r="M60" s="431"/>
      <c r="O60"/>
    </row>
    <row r="61" spans="1:21" ht="19.5">
      <c r="A61" s="52">
        <f>A59+1</f>
        <v>35</v>
      </c>
      <c r="C61" s="443" t="str">
        <f>"Net Plant in "&amp;C60&amp;" (Ln "&amp;A48&amp;" - Ln "&amp;A51&amp;")"</f>
        <v>Net Plant in ____________ JURISDICTION (Ln 24 - Ln 26)</v>
      </c>
      <c r="D61" s="48"/>
      <c r="E61" s="431">
        <f>+E48-E51</f>
        <v>0</v>
      </c>
      <c r="F61" s="48"/>
      <c r="G61" s="431">
        <f>+G48-G51</f>
        <v>140848753.40974069</v>
      </c>
      <c r="H61" s="48"/>
      <c r="I61" s="431">
        <f>+I48-I51</f>
        <v>0</v>
      </c>
      <c r="J61" s="48"/>
      <c r="K61" s="431">
        <f>+K48-K51</f>
        <v>1306547.2015105679</v>
      </c>
      <c r="L61" s="48"/>
      <c r="M61" s="431">
        <f>SUM(E61:K61)</f>
        <v>142155300.61125126</v>
      </c>
      <c r="O61"/>
    </row>
    <row r="62" spans="1:21" ht="19.5">
      <c r="A62" s="52">
        <f t="shared" ref="A62:A68" si="2">+A61+1</f>
        <v>36</v>
      </c>
      <c r="C62" s="107" t="s">
        <v>540</v>
      </c>
      <c r="D62" s="48"/>
      <c r="E62" s="445"/>
      <c r="F62" s="48"/>
      <c r="G62" s="435"/>
      <c r="H62" s="48"/>
      <c r="I62" s="435"/>
      <c r="J62" s="48"/>
      <c r="K62" s="435"/>
      <c r="L62" s="48"/>
      <c r="M62" s="431"/>
      <c r="O62"/>
    </row>
    <row r="63" spans="1:21" ht="19.5">
      <c r="A63" s="52">
        <f t="shared" si="2"/>
        <v>37</v>
      </c>
      <c r="C63" s="48" t="s">
        <v>241</v>
      </c>
      <c r="D63" s="48"/>
      <c r="E63" s="431">
        <f>+E61-E62</f>
        <v>0</v>
      </c>
      <c r="F63" s="48"/>
      <c r="G63" s="431">
        <f>+G61-G62</f>
        <v>140848753.40974069</v>
      </c>
      <c r="H63" s="48"/>
      <c r="I63" s="431">
        <f>+I61-I62</f>
        <v>0</v>
      </c>
      <c r="J63" s="48"/>
      <c r="K63" s="431">
        <f>+K61-K62</f>
        <v>1306547.2015105679</v>
      </c>
      <c r="L63" s="48"/>
      <c r="M63" s="431">
        <f>SUM(E63:K63)</f>
        <v>142155300.61125126</v>
      </c>
      <c r="O63"/>
    </row>
    <row r="64" spans="1:21" ht="19.5">
      <c r="A64" s="52">
        <f t="shared" si="2"/>
        <v>38</v>
      </c>
      <c r="C64" s="66" t="s">
        <v>240</v>
      </c>
      <c r="D64" s="48"/>
      <c r="E64" s="445"/>
      <c r="F64" s="434"/>
      <c r="G64" s="445"/>
      <c r="H64" s="434"/>
      <c r="I64" s="445"/>
      <c r="J64" s="434"/>
      <c r="K64" s="445"/>
      <c r="L64" s="48"/>
      <c r="M64" s="431"/>
      <c r="O64"/>
    </row>
    <row r="65" spans="1:15" ht="19.5">
      <c r="A65" s="52">
        <f t="shared" si="2"/>
        <v>39</v>
      </c>
      <c r="C65" s="48" t="str">
        <f>"Weighted Net Plant (Ln "&amp;A63&amp;" * Ln "&amp;A64&amp;")"</f>
        <v>Weighted Net Plant (Ln 37 * Ln 38)</v>
      </c>
      <c r="D65" s="48"/>
      <c r="E65" s="431">
        <f>+E63*E64</f>
        <v>0</v>
      </c>
      <c r="F65" s="48"/>
      <c r="G65" s="431">
        <f>+G63*G64</f>
        <v>0</v>
      </c>
      <c r="H65" s="48"/>
      <c r="I65" s="431">
        <f>+I63*I64</f>
        <v>0</v>
      </c>
      <c r="J65" s="48"/>
      <c r="K65" s="431">
        <f>+K63*K64</f>
        <v>0</v>
      </c>
      <c r="L65" s="48"/>
      <c r="M65" s="431"/>
      <c r="O65"/>
    </row>
    <row r="66" spans="1:15" ht="19.5">
      <c r="A66" s="52">
        <f t="shared" si="2"/>
        <v>40</v>
      </c>
      <c r="C66" s="48" t="str">
        <f>+"General Plant Allocator (Ln "&amp;A65&amp;" / (Total - General Plant)"</f>
        <v>General Plant Allocator (Ln 39 / (Total - General Plant)</v>
      </c>
      <c r="D66" s="48"/>
      <c r="E66" s="436">
        <f>IF(E64=0,0,+E65/($E65+$G65+$I65))</f>
        <v>0</v>
      </c>
      <c r="F66" s="48"/>
      <c r="G66" s="436">
        <v>1</v>
      </c>
      <c r="H66" s="48"/>
      <c r="I66" s="436">
        <f>IF(I64=0,0,+I65/($E65+$G65+$I65))</f>
        <v>0</v>
      </c>
      <c r="J66" s="48"/>
      <c r="K66" s="436">
        <v>-1</v>
      </c>
      <c r="L66" s="48"/>
      <c r="M66" s="431"/>
      <c r="O66"/>
    </row>
    <row r="67" spans="1:15" ht="19.5">
      <c r="A67" s="52">
        <f t="shared" si="2"/>
        <v>41</v>
      </c>
      <c r="C67" s="48" t="str">
        <f>"Functionalized General Plant (Ln "&amp;A67&amp;" * General Plant)"</f>
        <v>Functionalized General Plant (Ln 41 * General Plant)</v>
      </c>
      <c r="D67" s="48"/>
      <c r="E67" s="437">
        <f>ROUND($K65*E66,0)</f>
        <v>0</v>
      </c>
      <c r="F67" s="48"/>
      <c r="G67" s="437">
        <f>ROUND($K65*G66,0)</f>
        <v>0</v>
      </c>
      <c r="H67" s="48"/>
      <c r="I67" s="437">
        <f>ROUND($K65*I66,0)</f>
        <v>0</v>
      </c>
      <c r="J67" s="48"/>
      <c r="K67" s="437">
        <f>ROUND($K65*K66,0)</f>
        <v>0</v>
      </c>
      <c r="L67" s="48"/>
      <c r="M67" s="431"/>
      <c r="O67"/>
    </row>
    <row r="68" spans="1:15" ht="19.5">
      <c r="A68" s="52">
        <f t="shared" si="2"/>
        <v>42</v>
      </c>
      <c r="C68" s="444" t="str">
        <f>"Weighted "&amp;C60&amp;" Plant (Ln "&amp;A65&amp;" + "&amp;A67&amp;")"</f>
        <v>Weighted ____________ JURISDICTION Plant (Ln 39 + 41)</v>
      </c>
      <c r="D68" s="48"/>
      <c r="E68" s="431">
        <f>+E65+E67</f>
        <v>0</v>
      </c>
      <c r="F68" s="48"/>
      <c r="G68" s="431">
        <f>+G65+G67</f>
        <v>0</v>
      </c>
      <c r="H68" s="48"/>
      <c r="I68" s="431">
        <f>+I65+I67</f>
        <v>0</v>
      </c>
      <c r="J68" s="48"/>
      <c r="K68" s="431">
        <f>+K65+K67</f>
        <v>0</v>
      </c>
      <c r="L68" s="48"/>
      <c r="M68" s="431">
        <f>SUM(E68:K68)-SUM(E67:K67)</f>
        <v>0</v>
      </c>
      <c r="O68"/>
    </row>
    <row r="69" spans="1:15" ht="19.5">
      <c r="A69" s="52">
        <f>+A68+1</f>
        <v>43</v>
      </c>
      <c r="C69" s="48" t="str">
        <f>"Functional Percentage (Ln "&amp;A68&amp;"/Total Ln "&amp;A68&amp;")"</f>
        <v>Functional Percentage (Ln 42/Total Ln 42)</v>
      </c>
      <c r="D69" s="48"/>
      <c r="E69" s="432">
        <f>IF(E68=0,0,+E68/$M$68)</f>
        <v>0</v>
      </c>
      <c r="F69" s="48"/>
      <c r="G69" s="432">
        <v>1</v>
      </c>
      <c r="H69" s="48"/>
      <c r="I69" s="432">
        <f>IF(I68=0,0,+I68/$M$68)</f>
        <v>0</v>
      </c>
      <c r="J69"/>
      <c r="K69"/>
      <c r="L69" s="48"/>
      <c r="M69" s="431"/>
      <c r="O69"/>
    </row>
    <row r="70" spans="1:15" ht="19.5">
      <c r="A70" s="52"/>
      <c r="C70" s="48"/>
      <c r="D70" s="48"/>
      <c r="E70" s="66"/>
      <c r="F70" s="66"/>
      <c r="G70" s="66"/>
      <c r="H70" s="66"/>
      <c r="I70" s="66"/>
      <c r="J70" s="48"/>
      <c r="K70" s="439"/>
      <c r="L70" s="48"/>
      <c r="M70" s="66"/>
      <c r="O70"/>
    </row>
    <row r="71" spans="1:15" ht="19.5">
      <c r="A71" s="52"/>
      <c r="D71" s="48"/>
      <c r="E71" s="439"/>
      <c r="F71" s="48"/>
      <c r="G71" s="439"/>
      <c r="H71" s="48"/>
      <c r="I71" s="439"/>
      <c r="J71" s="48"/>
      <c r="K71" s="439"/>
      <c r="L71" s="48"/>
      <c r="M71" s="66"/>
      <c r="O71"/>
    </row>
    <row r="72" spans="1:15" ht="12.75">
      <c r="O72"/>
    </row>
    <row r="73" spans="1:15" ht="12.75">
      <c r="O73"/>
    </row>
    <row r="74" spans="1:15" ht="12.75">
      <c r="G74" s="440"/>
      <c r="O74"/>
    </row>
    <row r="215" spans="7:7" ht="15.75" thickBot="1"/>
    <row r="216" spans="7:7" ht="20.25" thickBot="1">
      <c r="G216" s="441"/>
    </row>
  </sheetData>
  <mergeCells count="7">
    <mergeCell ref="A8:M8"/>
    <mergeCell ref="A7:M7"/>
    <mergeCell ref="C46:M46"/>
    <mergeCell ref="A3:M3"/>
    <mergeCell ref="A4:M4"/>
    <mergeCell ref="A5:M5"/>
    <mergeCell ref="A6:M6"/>
  </mergeCells>
  <phoneticPr fontId="70"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117"/>
  <sheetViews>
    <sheetView tabSelected="1" view="pageBreakPreview" topLeftCell="A65" zoomScale="60" zoomScaleNormal="60" workbookViewId="0">
      <selection activeCell="L25" sqref="L25"/>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39" t="s">
        <v>406</v>
      </c>
      <c r="B1" s="50" t="s">
        <v>406</v>
      </c>
    </row>
    <row r="2" spans="1:20" ht="15.75">
      <c r="A2" s="739" t="s">
        <v>406</v>
      </c>
    </row>
    <row r="3" spans="1:20" ht="18.75" customHeight="1">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80"/>
      <c r="G3" s="1180"/>
    </row>
    <row r="4" spans="1:20" ht="18.75" customHeight="1">
      <c r="A4" s="1140" t="str">
        <f>"Cost of Service Formula Rate Using Actual/Projected FF1 Balances"</f>
        <v>Cost of Service Formula Rate Using Actual/Projected FF1 Balances</v>
      </c>
      <c r="B4" s="1140"/>
      <c r="C4" s="1140"/>
      <c r="D4" s="1140"/>
      <c r="E4" s="1140"/>
      <c r="F4" s="1180"/>
      <c r="G4" s="1180"/>
      <c r="H4" s="1140"/>
      <c r="I4" s="1140"/>
      <c r="J4" s="1140"/>
      <c r="K4" s="1140"/>
      <c r="L4" s="1140"/>
      <c r="M4" s="1180"/>
    </row>
    <row r="5" spans="1:20" ht="18.75" customHeight="1">
      <c r="A5" s="1141" t="s">
        <v>246</v>
      </c>
      <c r="B5" s="1141"/>
      <c r="C5" s="1141"/>
      <c r="D5" s="1141"/>
      <c r="E5" s="1141"/>
      <c r="F5" s="1180"/>
      <c r="G5" s="1180"/>
    </row>
    <row r="6" spans="1:20" ht="18" customHeight="1">
      <c r="A6" s="1182" t="str">
        <f>+TCOS!F9</f>
        <v>AEP Appalachian Transmission Company</v>
      </c>
      <c r="B6" s="1182"/>
      <c r="C6" s="1182"/>
      <c r="D6" s="1182"/>
      <c r="E6" s="1182"/>
      <c r="F6" s="1137"/>
      <c r="G6" s="1137"/>
      <c r="H6" s="106"/>
      <c r="I6" s="106"/>
      <c r="J6" s="106"/>
      <c r="K6" s="106"/>
      <c r="L6" s="106"/>
      <c r="M6" s="106"/>
    </row>
    <row r="7" spans="1:20" ht="18" customHeight="1">
      <c r="A7" s="67"/>
      <c r="B7" s="67"/>
      <c r="C7" s="67"/>
      <c r="D7" s="67"/>
      <c r="E7" s="67"/>
      <c r="F7" s="67"/>
    </row>
    <row r="8" spans="1:20" ht="19.5" customHeight="1">
      <c r="A8" s="52"/>
      <c r="B8" s="51"/>
      <c r="C8" s="15" t="s">
        <v>452</v>
      </c>
      <c r="E8" s="15" t="s">
        <v>453</v>
      </c>
      <c r="F8" s="15" t="s">
        <v>454</v>
      </c>
      <c r="G8" s="15" t="s">
        <v>455</v>
      </c>
    </row>
    <row r="9" spans="1:20" ht="18">
      <c r="A9" s="80"/>
      <c r="B9" s="81"/>
      <c r="C9" s="81"/>
      <c r="D9" s="81"/>
      <c r="E9"/>
      <c r="F9"/>
      <c r="G9" s="17"/>
      <c r="H9" s="17"/>
      <c r="I9" s="17"/>
      <c r="J9" s="17"/>
      <c r="K9" s="17"/>
      <c r="L9" s="17"/>
      <c r="M9" s="17"/>
      <c r="N9" s="17"/>
      <c r="O9" s="17"/>
      <c r="P9" s="17"/>
      <c r="Q9" s="17"/>
      <c r="R9" s="17"/>
      <c r="S9" s="17"/>
      <c r="T9" s="17"/>
    </row>
    <row r="10" spans="1:20" ht="18">
      <c r="A10" s="80" t="s">
        <v>459</v>
      </c>
      <c r="B10" s="81"/>
      <c r="C10" s="81"/>
      <c r="D10" s="81"/>
      <c r="E10" s="82" t="s">
        <v>410</v>
      </c>
      <c r="F10" s="80" t="s">
        <v>2</v>
      </c>
    </row>
    <row r="11" spans="1:20" ht="18">
      <c r="A11" s="83" t="s">
        <v>409</v>
      </c>
      <c r="B11" s="99"/>
      <c r="C11" s="83" t="s">
        <v>260</v>
      </c>
      <c r="D11" s="99"/>
      <c r="E11" s="84" t="s">
        <v>473</v>
      </c>
      <c r="F11" s="83" t="s">
        <v>3</v>
      </c>
      <c r="G11" s="84" t="s">
        <v>4</v>
      </c>
    </row>
    <row r="12" spans="1:20" ht="18">
      <c r="A12" s="52"/>
      <c r="B12" s="51"/>
      <c r="C12" s="49"/>
      <c r="D12" s="49"/>
      <c r="E12" s="49"/>
      <c r="F12" s="80"/>
      <c r="G12" s="82"/>
    </row>
    <row r="13" spans="1:20" ht="19.5">
      <c r="A13" s="52">
        <v>1</v>
      </c>
      <c r="B13" s="51"/>
      <c r="C13" s="53" t="s">
        <v>118</v>
      </c>
      <c r="D13" s="51"/>
      <c r="E13" s="48"/>
      <c r="F13" s="51"/>
    </row>
    <row r="14" spans="1:20" ht="19.5">
      <c r="A14" s="52">
        <f>+A13+1</f>
        <v>2</v>
      </c>
      <c r="B14" s="51"/>
      <c r="C14" s="48" t="s">
        <v>103</v>
      </c>
      <c r="D14" s="51"/>
      <c r="E14" s="66">
        <f>SUM(F15:F21)</f>
        <v>0</v>
      </c>
      <c r="F14" s="48"/>
    </row>
    <row r="15" spans="1:20" ht="19.5">
      <c r="A15" s="52"/>
      <c r="B15" s="51"/>
      <c r="C15" s="48"/>
      <c r="D15" s="51"/>
      <c r="E15" s="100"/>
      <c r="F15" s="446">
        <v>0</v>
      </c>
      <c r="G15" s="101"/>
    </row>
    <row r="16" spans="1:20" ht="19.5">
      <c r="A16" s="52"/>
      <c r="B16" s="51"/>
      <c r="C16" s="48"/>
      <c r="D16" s="51"/>
      <c r="E16" s="100"/>
      <c r="F16" s="446"/>
      <c r="G16" s="101"/>
    </row>
    <row r="17" spans="1:9" ht="19.5">
      <c r="A17" s="52"/>
      <c r="B17" s="51"/>
      <c r="C17" s="48"/>
      <c r="D17" s="51"/>
      <c r="E17" s="100"/>
      <c r="F17" s="446"/>
      <c r="G17" s="101"/>
    </row>
    <row r="18" spans="1:9" ht="19.5">
      <c r="A18" s="784"/>
      <c r="B18" s="745"/>
      <c r="C18" s="743"/>
      <c r="D18" s="745"/>
      <c r="E18" s="742"/>
      <c r="F18" s="741"/>
      <c r="G18" s="740"/>
      <c r="H18" s="744"/>
      <c r="I18" s="744"/>
    </row>
    <row r="19" spans="1:9" ht="18">
      <c r="A19" s="52"/>
      <c r="B19" s="51"/>
      <c r="C19" s="923" t="s">
        <v>452</v>
      </c>
      <c r="D19" s="923" t="s">
        <v>453</v>
      </c>
      <c r="E19" s="923" t="s">
        <v>454</v>
      </c>
      <c r="F19" s="923" t="s">
        <v>455</v>
      </c>
      <c r="G19" s="923" t="s">
        <v>375</v>
      </c>
      <c r="H19" s="924" t="s">
        <v>376</v>
      </c>
      <c r="I19" s="923" t="s">
        <v>377</v>
      </c>
    </row>
    <row r="20" spans="1:9" ht="47.25">
      <c r="A20" s="52"/>
      <c r="B20" s="51"/>
      <c r="C20" s="925" t="s">
        <v>696</v>
      </c>
      <c r="D20" s="926" t="s">
        <v>692</v>
      </c>
      <c r="E20" s="926" t="s">
        <v>693</v>
      </c>
      <c r="F20" s="926" t="s">
        <v>694</v>
      </c>
      <c r="G20" s="926" t="s">
        <v>4</v>
      </c>
      <c r="H20" s="927" t="s">
        <v>695</v>
      </c>
      <c r="I20" s="927" t="s">
        <v>697</v>
      </c>
    </row>
    <row r="21" spans="1:9" ht="19.5">
      <c r="A21" s="52"/>
      <c r="B21" s="51"/>
      <c r="C21" s="48"/>
      <c r="D21" s="51"/>
      <c r="E21" s="66"/>
      <c r="F21" s="747"/>
    </row>
    <row r="22" spans="1:9" ht="58.5">
      <c r="A22" s="52">
        <f>+A14+1</f>
        <v>3</v>
      </c>
      <c r="B22" s="51"/>
      <c r="C22" s="922" t="str">
        <f>"Real Estate and Personal Property Taxes Total
 (Ln "&amp;A23&amp;" + Ln "&amp;A30 &amp;" + Ln "&amp;A37&amp;" + Ln "&amp;A40&amp;")"</f>
        <v>Real Estate and Personal Property Taxes Total
 (Ln 4 + Ln 5 + Ln 6 + Ln 7)</v>
      </c>
      <c r="D22" s="51"/>
      <c r="E22" s="785">
        <f>E23+E30+E37+E40</f>
        <v>895429.99999999977</v>
      </c>
      <c r="F22" s="66"/>
      <c r="G22" s="48"/>
      <c r="I22" s="785">
        <f>I23+I30+I37+I40</f>
        <v>895429.99999999977</v>
      </c>
    </row>
    <row r="23" spans="1:9" ht="19.5">
      <c r="A23" s="52">
        <f>+A22+1</f>
        <v>4</v>
      </c>
      <c r="B23" s="51"/>
      <c r="C23" s="51" t="s">
        <v>609</v>
      </c>
      <c r="D23" s="51"/>
      <c r="E23" s="66">
        <f>SUM(F24:F29)</f>
        <v>0</v>
      </c>
      <c r="F23" s="100"/>
      <c r="G23" s="48"/>
      <c r="I23" s="66">
        <f>SUM(I24:I29)</f>
        <v>0</v>
      </c>
    </row>
    <row r="24" spans="1:9" ht="19.5">
      <c r="A24" s="52"/>
      <c r="B24" s="51"/>
      <c r="C24" s="51"/>
      <c r="D24" s="51"/>
      <c r="E24" s="66"/>
      <c r="F24" s="446">
        <v>0</v>
      </c>
      <c r="G24" s="749"/>
      <c r="H24" s="748"/>
      <c r="I24" s="747">
        <f t="shared" ref="I24:I29" si="0">F24*H24</f>
        <v>0</v>
      </c>
    </row>
    <row r="25" spans="1:9" ht="19.5">
      <c r="A25" s="52"/>
      <c r="B25" s="51"/>
      <c r="C25" s="51"/>
      <c r="D25" s="51"/>
      <c r="E25" s="66"/>
      <c r="F25" s="446"/>
      <c r="G25" s="749"/>
      <c r="H25" s="446"/>
      <c r="I25" s="747">
        <f t="shared" si="0"/>
        <v>0</v>
      </c>
    </row>
    <row r="26" spans="1:9" ht="19.5">
      <c r="A26" s="52"/>
      <c r="B26" s="51"/>
      <c r="C26" s="51"/>
      <c r="D26" s="51"/>
      <c r="E26" s="66"/>
      <c r="F26" s="446"/>
      <c r="G26" s="749"/>
      <c r="H26" s="446"/>
      <c r="I26" s="747">
        <f t="shared" si="0"/>
        <v>0</v>
      </c>
    </row>
    <row r="27" spans="1:9" ht="19.5">
      <c r="A27" s="52"/>
      <c r="B27" s="51"/>
      <c r="C27" s="51"/>
      <c r="D27" s="51"/>
      <c r="E27" s="66"/>
      <c r="F27" s="446"/>
      <c r="G27" s="749"/>
      <c r="H27" s="446"/>
      <c r="I27" s="747">
        <f t="shared" si="0"/>
        <v>0</v>
      </c>
    </row>
    <row r="28" spans="1:9" ht="19.5">
      <c r="A28" s="52"/>
      <c r="B28" s="51"/>
      <c r="C28" s="51"/>
      <c r="D28" s="51"/>
      <c r="E28" s="66"/>
      <c r="F28" s="446"/>
      <c r="G28" s="749"/>
      <c r="H28" s="446"/>
      <c r="I28" s="747">
        <f t="shared" si="0"/>
        <v>0</v>
      </c>
    </row>
    <row r="29" spans="1:9" ht="19.5">
      <c r="A29" s="52"/>
      <c r="B29" s="51"/>
      <c r="C29" s="51"/>
      <c r="D29" s="51"/>
      <c r="E29" s="66"/>
      <c r="F29" s="446"/>
      <c r="G29" s="749"/>
      <c r="H29" s="446"/>
      <c r="I29" s="747">
        <f t="shared" si="0"/>
        <v>0</v>
      </c>
    </row>
    <row r="30" spans="1:9" ht="19.5">
      <c r="A30" s="52">
        <f>+A23+1</f>
        <v>5</v>
      </c>
      <c r="B30" s="51"/>
      <c r="C30" s="51" t="s">
        <v>610</v>
      </c>
      <c r="D30" s="51"/>
      <c r="E30" s="66">
        <f>SUM(F31:F36)</f>
        <v>0</v>
      </c>
      <c r="F30" s="66"/>
      <c r="G30" s="48"/>
      <c r="I30" s="440">
        <f>SUM(I31:I36)</f>
        <v>0</v>
      </c>
    </row>
    <row r="31" spans="1:9" ht="19.5">
      <c r="A31" s="52"/>
      <c r="B31" s="51"/>
      <c r="C31" s="51"/>
      <c r="D31" s="51"/>
      <c r="E31" s="66"/>
      <c r="F31" s="446">
        <v>0</v>
      </c>
      <c r="G31" s="749"/>
      <c r="H31" s="748">
        <v>1</v>
      </c>
      <c r="I31" s="747">
        <f t="shared" ref="I31:I36" si="1">F31*H31</f>
        <v>0</v>
      </c>
    </row>
    <row r="32" spans="1:9" ht="19.5">
      <c r="A32" s="52"/>
      <c r="B32" s="51"/>
      <c r="C32" s="51"/>
      <c r="D32" s="51"/>
      <c r="E32" s="66"/>
      <c r="F32" s="446"/>
      <c r="G32" s="749"/>
      <c r="H32" s="446"/>
      <c r="I32" s="747">
        <f t="shared" si="1"/>
        <v>0</v>
      </c>
    </row>
    <row r="33" spans="1:9" ht="19.5">
      <c r="A33" s="52"/>
      <c r="B33" s="51"/>
      <c r="C33" s="51"/>
      <c r="D33" s="51"/>
      <c r="E33" s="66"/>
      <c r="F33" s="446"/>
      <c r="G33" s="749"/>
      <c r="H33" s="446"/>
      <c r="I33" s="747">
        <f t="shared" si="1"/>
        <v>0</v>
      </c>
    </row>
    <row r="34" spans="1:9" ht="19.5">
      <c r="A34" s="52"/>
      <c r="B34" s="51"/>
      <c r="C34" s="51"/>
      <c r="D34" s="51"/>
      <c r="E34" s="66"/>
      <c r="F34" s="446"/>
      <c r="G34" s="749"/>
      <c r="H34" s="446"/>
      <c r="I34" s="747">
        <f t="shared" si="1"/>
        <v>0</v>
      </c>
    </row>
    <row r="35" spans="1:9" ht="19.5">
      <c r="A35" s="52"/>
      <c r="B35" s="51"/>
      <c r="C35" s="51"/>
      <c r="D35" s="51"/>
      <c r="E35" s="66"/>
      <c r="F35" s="446"/>
      <c r="G35" s="749"/>
      <c r="H35" s="446"/>
      <c r="I35" s="747">
        <f t="shared" si="1"/>
        <v>0</v>
      </c>
    </row>
    <row r="36" spans="1:9" ht="19.5">
      <c r="A36" s="52"/>
      <c r="B36" s="51"/>
      <c r="C36" s="51"/>
      <c r="D36" s="51"/>
      <c r="E36" s="66"/>
      <c r="F36" s="446"/>
      <c r="G36" s="749"/>
      <c r="H36" s="446"/>
      <c r="I36" s="747">
        <f t="shared" si="1"/>
        <v>0</v>
      </c>
    </row>
    <row r="37" spans="1:9" ht="19.5">
      <c r="A37" s="52">
        <f>+A30+1</f>
        <v>6</v>
      </c>
      <c r="B37" s="51"/>
      <c r="C37" s="51" t="s">
        <v>611</v>
      </c>
      <c r="D37" s="51"/>
      <c r="E37" s="66">
        <f>+F38+F39</f>
        <v>895429.99999999977</v>
      </c>
      <c r="F37" s="48"/>
      <c r="I37" s="440">
        <f>SUM(I38:I39)</f>
        <v>895429.99999999977</v>
      </c>
    </row>
    <row r="38" spans="1:9" ht="19.5">
      <c r="A38" s="52"/>
      <c r="B38" s="51"/>
      <c r="C38" s="51"/>
      <c r="D38" s="51"/>
      <c r="E38" s="66"/>
      <c r="F38" s="446">
        <v>895429.99999999977</v>
      </c>
      <c r="G38" s="749"/>
      <c r="H38" s="748">
        <v>1</v>
      </c>
      <c r="I38" s="747">
        <f>F38*H38</f>
        <v>895429.99999999977</v>
      </c>
    </row>
    <row r="39" spans="1:9" ht="19.5">
      <c r="A39" s="52"/>
      <c r="B39" s="51"/>
      <c r="C39" s="51"/>
      <c r="D39" s="51"/>
      <c r="E39" s="66"/>
      <c r="F39" s="446"/>
      <c r="G39" s="749"/>
      <c r="H39" s="446"/>
      <c r="I39" s="747">
        <f>F39*H39</f>
        <v>0</v>
      </c>
    </row>
    <row r="40" spans="1:9" ht="19.5">
      <c r="A40" s="52">
        <f>+A37+1</f>
        <v>7</v>
      </c>
      <c r="B40" s="51"/>
      <c r="C40" s="51" t="s">
        <v>243</v>
      </c>
      <c r="D40" s="89"/>
      <c r="E40" s="66">
        <f>+F41</f>
        <v>0</v>
      </c>
      <c r="F40" s="51"/>
      <c r="I40" s="440">
        <f>SUM(I41)</f>
        <v>0</v>
      </c>
    </row>
    <row r="41" spans="1:9" ht="19.5">
      <c r="A41" s="52"/>
      <c r="B41" s="51"/>
      <c r="C41" s="51"/>
      <c r="D41" s="89"/>
      <c r="E41" s="66"/>
      <c r="F41" s="446">
        <v>0</v>
      </c>
      <c r="G41" s="749"/>
      <c r="H41" s="446"/>
      <c r="I41" s="747">
        <f>F41*H41</f>
        <v>0</v>
      </c>
    </row>
    <row r="42" spans="1:9" ht="19.5">
      <c r="A42" s="784"/>
      <c r="B42" s="745"/>
      <c r="C42" s="745"/>
      <c r="D42" s="746"/>
      <c r="E42" s="785"/>
      <c r="F42" s="745"/>
      <c r="G42" s="744"/>
      <c r="H42" s="744"/>
      <c r="I42" s="744"/>
    </row>
    <row r="43" spans="1:9" ht="23.25" customHeight="1">
      <c r="A43" s="52"/>
      <c r="B43" s="51"/>
      <c r="C43" s="51"/>
      <c r="D43" s="89"/>
      <c r="E43" s="66"/>
      <c r="F43" s="51"/>
    </row>
    <row r="44" spans="1:9" ht="18">
      <c r="A44" s="52"/>
      <c r="B44" s="51"/>
      <c r="C44" s="15" t="s">
        <v>452</v>
      </c>
      <c r="E44" s="15" t="s">
        <v>453</v>
      </c>
      <c r="F44" s="15" t="s">
        <v>454</v>
      </c>
      <c r="G44" s="15" t="s">
        <v>455</v>
      </c>
    </row>
    <row r="45" spans="1:9" ht="18">
      <c r="A45" s="80"/>
      <c r="B45" s="81"/>
      <c r="C45" s="81"/>
      <c r="D45" s="81"/>
      <c r="E45"/>
      <c r="F45"/>
      <c r="G45" s="17"/>
    </row>
    <row r="46" spans="1:9" ht="18">
      <c r="A46" s="80" t="s">
        <v>459</v>
      </c>
      <c r="B46" s="81"/>
      <c r="C46" s="81"/>
      <c r="D46" s="81"/>
      <c r="E46" s="82" t="s">
        <v>410</v>
      </c>
      <c r="F46" s="80" t="s">
        <v>2</v>
      </c>
    </row>
    <row r="47" spans="1:9" ht="18">
      <c r="A47" s="83" t="s">
        <v>409</v>
      </c>
      <c r="B47" s="99"/>
      <c r="C47" s="83" t="s">
        <v>260</v>
      </c>
      <c r="D47" s="99"/>
      <c r="E47" s="84" t="s">
        <v>473</v>
      </c>
      <c r="F47" s="83" t="s">
        <v>3</v>
      </c>
      <c r="G47" s="84" t="s">
        <v>4</v>
      </c>
    </row>
    <row r="48" spans="1:9" ht="19.5">
      <c r="A48" s="52"/>
      <c r="B48" s="51"/>
      <c r="C48" s="54"/>
      <c r="D48" s="51"/>
      <c r="E48" s="48"/>
    </row>
    <row r="49" spans="1:7" ht="19.5">
      <c r="A49" s="52">
        <f>+A40+1</f>
        <v>8</v>
      </c>
      <c r="B49" s="51"/>
      <c r="C49" s="53" t="s">
        <v>120</v>
      </c>
      <c r="D49" s="51"/>
      <c r="E49" s="48"/>
      <c r="F49" s="102"/>
      <c r="G49" s="48"/>
    </row>
    <row r="50" spans="1:7" ht="19.5">
      <c r="A50" s="52">
        <f>+A49+1</f>
        <v>9</v>
      </c>
      <c r="B50" s="51"/>
      <c r="C50" s="51" t="s">
        <v>116</v>
      </c>
      <c r="D50" s="51"/>
      <c r="E50" s="66">
        <f>+F51</f>
        <v>0</v>
      </c>
      <c r="F50" s="48"/>
      <c r="G50" s="48"/>
    </row>
    <row r="51" spans="1:7" ht="19.5">
      <c r="A51" s="52"/>
      <c r="B51" s="51"/>
      <c r="C51" s="51"/>
      <c r="D51" s="51"/>
      <c r="E51" s="66"/>
      <c r="F51" s="446">
        <v>0</v>
      </c>
      <c r="G51" s="101"/>
    </row>
    <row r="52" spans="1:7" ht="19.5">
      <c r="A52" s="52">
        <f>+A50+1</f>
        <v>10</v>
      </c>
      <c r="B52" s="51"/>
      <c r="C52" s="51" t="s">
        <v>109</v>
      </c>
      <c r="D52" s="51"/>
      <c r="E52" s="66">
        <f>+F53</f>
        <v>0</v>
      </c>
      <c r="F52" s="48"/>
      <c r="G52" s="48"/>
    </row>
    <row r="53" spans="1:7" ht="19.5">
      <c r="A53" s="52"/>
      <c r="B53" s="51"/>
      <c r="C53" s="51"/>
      <c r="D53" s="51"/>
      <c r="E53" s="66"/>
      <c r="F53" s="446">
        <v>0</v>
      </c>
      <c r="G53" s="101"/>
    </row>
    <row r="54" spans="1:7" ht="19.5">
      <c r="A54" s="52">
        <f>+A52+1</f>
        <v>11</v>
      </c>
      <c r="B54" s="51"/>
      <c r="C54" s="51" t="s">
        <v>110</v>
      </c>
      <c r="D54" s="51"/>
      <c r="E54" s="66">
        <f>+F55+F56+F57</f>
        <v>0</v>
      </c>
      <c r="F54" s="48"/>
      <c r="G54" s="48"/>
    </row>
    <row r="55" spans="1:7" ht="19.5">
      <c r="A55" s="52" t="s">
        <v>406</v>
      </c>
      <c r="B55" s="51"/>
      <c r="C55" s="48"/>
      <c r="D55" s="51"/>
      <c r="E55" s="48"/>
      <c r="F55" s="446">
        <v>0</v>
      </c>
      <c r="G55" s="101"/>
    </row>
    <row r="56" spans="1:7" ht="19.5">
      <c r="A56" s="52"/>
      <c r="B56" s="51"/>
      <c r="C56" s="48"/>
      <c r="D56" s="51"/>
      <c r="E56" s="48"/>
      <c r="F56" s="446"/>
      <c r="G56" s="101"/>
    </row>
    <row r="57" spans="1:7" ht="19.5">
      <c r="A57" s="52"/>
      <c r="B57" s="51"/>
      <c r="C57" s="48"/>
      <c r="D57" s="51"/>
      <c r="E57" s="48"/>
      <c r="F57" s="446"/>
      <c r="G57" s="101"/>
    </row>
    <row r="58" spans="1:7" ht="19.5">
      <c r="A58" s="52">
        <f>A54+1</f>
        <v>12</v>
      </c>
      <c r="B58" s="51"/>
      <c r="C58" s="108" t="s">
        <v>315</v>
      </c>
      <c r="D58" s="51"/>
      <c r="E58" s="107"/>
      <c r="F58" s="48"/>
      <c r="G58" s="48"/>
    </row>
    <row r="59" spans="1:7" ht="19.5">
      <c r="A59" s="52">
        <f>A58+1</f>
        <v>13</v>
      </c>
      <c r="B59" s="51"/>
      <c r="C59" s="48" t="s">
        <v>214</v>
      </c>
      <c r="D59" s="89"/>
      <c r="E59" s="66">
        <f>+F60</f>
        <v>0</v>
      </c>
      <c r="G59" s="48"/>
    </row>
    <row r="60" spans="1:7" ht="19.5">
      <c r="A60" s="52"/>
      <c r="B60" s="51"/>
      <c r="C60" s="48"/>
      <c r="D60" s="51"/>
      <c r="E60" s="48"/>
      <c r="F60" s="446">
        <v>0</v>
      </c>
      <c r="G60" s="48"/>
    </row>
    <row r="61" spans="1:7" ht="19.5">
      <c r="A61" s="56">
        <f>A59+1</f>
        <v>14</v>
      </c>
      <c r="B61" s="57"/>
      <c r="C61" s="53" t="s">
        <v>117</v>
      </c>
      <c r="D61" s="58"/>
      <c r="E61" s="48"/>
      <c r="F61" s="100"/>
      <c r="G61" s="48"/>
    </row>
    <row r="62" spans="1:7" ht="19.5">
      <c r="A62" s="56">
        <f>A61+1</f>
        <v>15</v>
      </c>
      <c r="B62" s="57"/>
      <c r="C62" s="48" t="s">
        <v>213</v>
      </c>
      <c r="D62" s="58"/>
      <c r="E62" s="66">
        <f>+F63+F64</f>
        <v>0</v>
      </c>
      <c r="F62" s="48"/>
      <c r="G62" s="48"/>
    </row>
    <row r="63" spans="1:7" ht="19.5">
      <c r="A63" s="56"/>
      <c r="B63" s="57"/>
      <c r="C63" s="48"/>
      <c r="D63" s="58"/>
      <c r="E63" s="66"/>
      <c r="F63" s="446">
        <v>0</v>
      </c>
      <c r="G63" s="101"/>
    </row>
    <row r="64" spans="1:7" ht="19.5">
      <c r="A64" s="56"/>
      <c r="B64" s="57"/>
      <c r="C64" s="48"/>
      <c r="D64" s="58"/>
      <c r="E64" s="66"/>
      <c r="F64" s="446"/>
      <c r="G64" s="101"/>
    </row>
    <row r="65" spans="1:7" ht="19.5">
      <c r="A65" s="52">
        <f>A62+1</f>
        <v>16</v>
      </c>
      <c r="B65" s="51"/>
      <c r="C65" s="48" t="s">
        <v>111</v>
      </c>
      <c r="D65" s="51"/>
      <c r="E65" s="66">
        <f>+F66+F67+F68</f>
        <v>0</v>
      </c>
      <c r="F65" s="48"/>
      <c r="G65" s="48"/>
    </row>
    <row r="66" spans="1:7" ht="19.5">
      <c r="A66" s="52"/>
      <c r="B66" s="51"/>
      <c r="C66" s="48"/>
      <c r="D66" s="51"/>
      <c r="E66" s="66"/>
      <c r="F66" s="446">
        <v>0</v>
      </c>
      <c r="G66" s="101"/>
    </row>
    <row r="67" spans="1:7" ht="19.5">
      <c r="A67" s="52"/>
      <c r="B67" s="51"/>
      <c r="C67" s="48"/>
      <c r="D67" s="51"/>
      <c r="E67" s="66"/>
      <c r="F67" s="446"/>
      <c r="G67" s="101"/>
    </row>
    <row r="68" spans="1:7" ht="19.5">
      <c r="A68" s="52"/>
      <c r="B68" s="51"/>
      <c r="C68" s="48"/>
      <c r="D68" s="51"/>
      <c r="E68" s="66"/>
      <c r="F68" s="446"/>
      <c r="G68" s="101"/>
    </row>
    <row r="69" spans="1:7" ht="19.5">
      <c r="A69" s="52">
        <f>+A65+1</f>
        <v>17</v>
      </c>
      <c r="B69" s="51"/>
      <c r="C69" s="48" t="s">
        <v>112</v>
      </c>
      <c r="D69"/>
      <c r="E69" s="66">
        <f>SUM(F70:F80)</f>
        <v>118079.00000000003</v>
      </c>
      <c r="F69" s="48"/>
      <c r="G69" s="48"/>
    </row>
    <row r="70" spans="1:7" ht="19.5">
      <c r="A70" s="52"/>
      <c r="B70" s="51"/>
      <c r="C70" s="48"/>
      <c r="D70"/>
      <c r="E70" s="66"/>
      <c r="F70" s="446">
        <v>118079.00000000003</v>
      </c>
      <c r="G70" s="101"/>
    </row>
    <row r="71" spans="1:7" ht="19.5">
      <c r="A71" s="52"/>
      <c r="B71" s="51"/>
      <c r="C71" s="48"/>
      <c r="D71"/>
      <c r="E71" s="66"/>
      <c r="F71" s="446"/>
      <c r="G71" s="101"/>
    </row>
    <row r="72" spans="1:7" ht="19.5">
      <c r="A72" s="52"/>
      <c r="B72" s="51"/>
      <c r="C72" s="48"/>
      <c r="D72"/>
      <c r="E72" s="66"/>
      <c r="F72" s="446"/>
      <c r="G72" s="101"/>
    </row>
    <row r="73" spans="1:7" ht="19.5">
      <c r="A73" s="52"/>
      <c r="B73" s="51"/>
      <c r="C73" s="48"/>
      <c r="D73"/>
      <c r="E73" s="66"/>
      <c r="F73" s="446"/>
      <c r="G73" s="101"/>
    </row>
    <row r="74" spans="1:7" ht="19.5">
      <c r="A74" s="52"/>
      <c r="B74" s="51"/>
      <c r="C74" s="48"/>
      <c r="D74"/>
      <c r="E74" s="66"/>
      <c r="F74" s="446"/>
      <c r="G74" s="101"/>
    </row>
    <row r="75" spans="1:7" ht="19.5">
      <c r="A75" s="52"/>
      <c r="B75" s="51"/>
      <c r="C75" s="48"/>
      <c r="D75"/>
      <c r="E75" s="66"/>
      <c r="F75" s="446"/>
      <c r="G75" s="101"/>
    </row>
    <row r="76" spans="1:7" ht="19.5">
      <c r="A76" s="52"/>
      <c r="B76" s="51"/>
      <c r="C76" s="48"/>
      <c r="D76"/>
      <c r="E76" s="66"/>
      <c r="F76" s="446"/>
      <c r="G76" s="101"/>
    </row>
    <row r="77" spans="1:7" ht="19.5">
      <c r="A77" s="52"/>
      <c r="B77" s="51"/>
      <c r="C77" s="48"/>
      <c r="D77"/>
      <c r="E77" s="66"/>
      <c r="F77" s="446"/>
      <c r="G77" s="101"/>
    </row>
    <row r="78" spans="1:7" ht="19.5">
      <c r="A78" s="52"/>
      <c r="B78" s="51"/>
      <c r="C78" s="48"/>
      <c r="D78"/>
      <c r="E78" s="66"/>
      <c r="F78" s="446"/>
      <c r="G78" s="101"/>
    </row>
    <row r="79" spans="1:7" ht="19.5">
      <c r="A79" s="52"/>
      <c r="B79" s="51"/>
      <c r="C79" s="48"/>
      <c r="D79"/>
      <c r="E79" s="66"/>
      <c r="F79" s="446"/>
      <c r="G79" s="101"/>
    </row>
    <row r="80" spans="1:7" ht="19.5">
      <c r="A80" s="52"/>
      <c r="B80" s="51"/>
      <c r="C80" s="48"/>
      <c r="D80"/>
      <c r="E80" s="66"/>
      <c r="F80" s="446"/>
      <c r="G80" s="101"/>
    </row>
    <row r="81" spans="1:7" ht="19.5">
      <c r="A81" s="52">
        <f>+A69+1</f>
        <v>18</v>
      </c>
      <c r="B81" s="51"/>
      <c r="C81" s="48" t="s">
        <v>113</v>
      </c>
      <c r="D81"/>
      <c r="E81" s="66">
        <f>SUM(F82:F85)</f>
        <v>0</v>
      </c>
      <c r="F81" s="48"/>
      <c r="G81" s="48"/>
    </row>
    <row r="82" spans="1:7" ht="19.5">
      <c r="A82" s="52"/>
      <c r="B82" s="51"/>
      <c r="C82" s="48"/>
      <c r="D82"/>
      <c r="E82" s="66"/>
      <c r="F82" s="446">
        <v>0</v>
      </c>
      <c r="G82" s="101"/>
    </row>
    <row r="83" spans="1:7" ht="19.5">
      <c r="A83" s="52"/>
      <c r="B83" s="51"/>
      <c r="C83" s="48"/>
      <c r="D83"/>
      <c r="E83" s="66"/>
      <c r="F83" s="446"/>
      <c r="G83" s="101"/>
    </row>
    <row r="84" spans="1:7" ht="19.5">
      <c r="A84" s="52"/>
      <c r="B84" s="51"/>
      <c r="C84" s="48"/>
      <c r="D84"/>
      <c r="E84" s="66"/>
      <c r="F84" s="446"/>
      <c r="G84" s="101"/>
    </row>
    <row r="85" spans="1:7" ht="19.5">
      <c r="A85" s="52"/>
      <c r="B85" s="51"/>
      <c r="C85" s="48"/>
      <c r="D85"/>
      <c r="E85" s="66"/>
      <c r="F85" s="446"/>
      <c r="G85" s="101"/>
    </row>
    <row r="86" spans="1:7" ht="19.5">
      <c r="A86" s="52">
        <f>+A81+1</f>
        <v>19</v>
      </c>
      <c r="B86" s="51"/>
      <c r="C86" s="48" t="s">
        <v>114</v>
      </c>
      <c r="D86" s="51"/>
      <c r="E86" s="66">
        <f>F87</f>
        <v>0</v>
      </c>
      <c r="F86" s="48"/>
      <c r="G86" s="48"/>
    </row>
    <row r="87" spans="1:7" ht="19.5">
      <c r="A87" s="52"/>
      <c r="B87" s="51"/>
      <c r="C87" s="48"/>
      <c r="D87" s="51"/>
      <c r="E87" s="66"/>
      <c r="F87" s="446">
        <v>0</v>
      </c>
      <c r="G87" s="101"/>
    </row>
    <row r="88" spans="1:7" ht="19.5">
      <c r="A88" s="52"/>
      <c r="B88" s="51"/>
      <c r="C88" s="48"/>
      <c r="D88" s="51"/>
      <c r="E88" s="66"/>
      <c r="F88" s="124"/>
      <c r="G88" s="48"/>
    </row>
    <row r="89" spans="1:7" ht="19.5">
      <c r="A89" s="52">
        <f>+A86+1</f>
        <v>20</v>
      </c>
      <c r="B89" s="51"/>
      <c r="C89" s="48" t="s">
        <v>115</v>
      </c>
      <c r="D89" s="51"/>
      <c r="E89" s="66">
        <f>SUM(F90:F94)</f>
        <v>0</v>
      </c>
      <c r="F89" s="48"/>
      <c r="G89" s="101"/>
    </row>
    <row r="90" spans="1:7" ht="19.5">
      <c r="A90" s="52"/>
      <c r="B90" s="51"/>
      <c r="C90" s="48"/>
      <c r="D90" s="51"/>
      <c r="E90" s="66"/>
      <c r="F90" s="446">
        <v>0</v>
      </c>
      <c r="G90" s="101"/>
    </row>
    <row r="91" spans="1:7" ht="19.5">
      <c r="A91" s="52"/>
      <c r="B91" s="51"/>
      <c r="C91" s="48"/>
      <c r="D91" s="51"/>
      <c r="E91" s="66"/>
      <c r="F91" s="446"/>
      <c r="G91" s="101"/>
    </row>
    <row r="92" spans="1:7" ht="19.5">
      <c r="A92" s="52"/>
      <c r="B92" s="51"/>
      <c r="C92" s="48"/>
      <c r="D92" s="51"/>
      <c r="E92" s="66"/>
      <c r="F92" s="446"/>
      <c r="G92" s="101"/>
    </row>
    <row r="93" spans="1:7" ht="19.5">
      <c r="A93" s="52"/>
      <c r="B93" s="51"/>
      <c r="C93" s="48"/>
      <c r="D93" s="51"/>
      <c r="E93" s="66"/>
      <c r="F93" s="446"/>
      <c r="G93" s="101"/>
    </row>
    <row r="94" spans="1:7" ht="19.5">
      <c r="A94" s="52"/>
      <c r="B94" s="51"/>
      <c r="C94" s="48"/>
      <c r="D94" s="51"/>
      <c r="E94" s="66"/>
      <c r="F94" s="446"/>
      <c r="G94" s="101"/>
    </row>
    <row r="95" spans="1:7" ht="19.5">
      <c r="A95" s="52">
        <f>+A89+1</f>
        <v>21</v>
      </c>
      <c r="B95" s="48"/>
      <c r="C95" s="48" t="s">
        <v>104</v>
      </c>
      <c r="D95" s="48"/>
      <c r="E95" s="66">
        <f>SUM(F96:F97)</f>
        <v>0</v>
      </c>
      <c r="F95" s="100"/>
      <c r="G95" s="101"/>
    </row>
    <row r="96" spans="1:7" ht="19.5">
      <c r="A96" s="52"/>
      <c r="B96" s="48"/>
      <c r="C96" s="48"/>
      <c r="D96" s="48"/>
      <c r="E96" s="50"/>
      <c r="F96" s="446">
        <v>0</v>
      </c>
      <c r="G96" s="101"/>
    </row>
    <row r="97" spans="1:7" ht="19.5">
      <c r="A97" s="52"/>
      <c r="B97" s="48"/>
      <c r="C97" s="48"/>
      <c r="D97" s="48"/>
      <c r="E97" s="50"/>
      <c r="F97" s="446"/>
      <c r="G97" s="101"/>
    </row>
    <row r="98" spans="1:7" ht="19.5">
      <c r="A98" s="52">
        <f>+A95+1</f>
        <v>22</v>
      </c>
      <c r="B98" s="48"/>
      <c r="C98" s="61" t="s">
        <v>398</v>
      </c>
      <c r="D98" s="48"/>
      <c r="E98" s="66">
        <f>+F99</f>
        <v>0</v>
      </c>
      <c r="G98" s="48"/>
    </row>
    <row r="99" spans="1:7" ht="19.5">
      <c r="A99" s="52"/>
      <c r="B99" s="48"/>
      <c r="C99" s="61"/>
      <c r="D99" s="48"/>
      <c r="E99" s="48"/>
      <c r="F99" s="446">
        <v>0</v>
      </c>
      <c r="G99" s="48"/>
    </row>
    <row r="100" spans="1:7" ht="19.5">
      <c r="A100" s="3"/>
      <c r="B100" s="98"/>
      <c r="C100" s="98"/>
      <c r="D100"/>
      <c r="E100"/>
      <c r="F100" s="100"/>
      <c r="G100" s="48"/>
    </row>
    <row r="101" spans="1:7" ht="20.25" thickBot="1">
      <c r="A101" s="95">
        <f>+A98+1</f>
        <v>23</v>
      </c>
      <c r="B101" s="98"/>
      <c r="C101" s="48" t="s">
        <v>108</v>
      </c>
      <c r="D101"/>
      <c r="E101" s="60">
        <f>SUM(E24:E99)</f>
        <v>1013508.9999999998</v>
      </c>
      <c r="F101" s="60">
        <f>SUM(F14:F99)</f>
        <v>1013508.9999999998</v>
      </c>
      <c r="G101" s="48"/>
    </row>
    <row r="102" spans="1:7" ht="20.25" thickTop="1">
      <c r="A102" s="3"/>
      <c r="B102" s="98"/>
      <c r="C102" s="48" t="s">
        <v>173</v>
      </c>
      <c r="D102"/>
      <c r="E102"/>
      <c r="F102" s="48"/>
      <c r="G102" s="48"/>
    </row>
    <row r="103" spans="1:7" ht="19.5">
      <c r="A103" s="3"/>
      <c r="B103" s="98"/>
      <c r="C103" s="48"/>
      <c r="D103"/>
      <c r="E103"/>
      <c r="F103" s="66" t="s">
        <v>406</v>
      </c>
      <c r="G103" s="48"/>
    </row>
    <row r="104" spans="1:7" ht="21.75" customHeight="1">
      <c r="A104" s="1181" t="s">
        <v>765</v>
      </c>
      <c r="B104" s="1181"/>
      <c r="C104" s="1181"/>
      <c r="D104" s="1181"/>
      <c r="E104" s="1181"/>
      <c r="F104" s="1181"/>
      <c r="G104" s="1181"/>
    </row>
    <row r="105" spans="1:7" ht="21.75" customHeight="1">
      <c r="A105" s="1181"/>
      <c r="B105" s="1181"/>
      <c r="C105" s="1181"/>
      <c r="D105" s="1181"/>
      <c r="E105" s="1181"/>
      <c r="F105" s="1181"/>
      <c r="G105" s="1181"/>
    </row>
    <row r="106" spans="1:7" ht="21.75" customHeight="1">
      <c r="A106" s="1181"/>
      <c r="B106" s="1181"/>
      <c r="C106" s="1181"/>
      <c r="D106" s="1181"/>
      <c r="E106" s="1181"/>
      <c r="F106" s="1181"/>
      <c r="G106" s="1181"/>
    </row>
    <row r="107" spans="1:7" ht="21.75" customHeight="1">
      <c r="A107" s="1181"/>
      <c r="B107" s="1181"/>
      <c r="C107" s="1181"/>
      <c r="D107" s="1181"/>
      <c r="E107" s="1181"/>
      <c r="F107" s="1181"/>
      <c r="G107" s="1181"/>
    </row>
    <row r="108" spans="1:7" ht="21.75" customHeight="1">
      <c r="A108" s="1181"/>
      <c r="B108" s="1181"/>
      <c r="C108" s="1181"/>
      <c r="D108" s="1181"/>
      <c r="E108" s="1181"/>
      <c r="F108" s="1181"/>
      <c r="G108" s="1181"/>
    </row>
    <row r="109" spans="1:7" ht="19.5">
      <c r="F109" s="48"/>
      <c r="G109" s="48"/>
    </row>
    <row r="110" spans="1:7" ht="30" customHeight="1">
      <c r="A110" s="1179" t="s">
        <v>698</v>
      </c>
      <c r="B110" s="1179"/>
      <c r="C110" s="1179"/>
      <c r="D110" s="1179"/>
      <c r="E110" s="1179"/>
      <c r="F110" s="1179"/>
      <c r="G110" s="1179"/>
    </row>
    <row r="111" spans="1:7" ht="30" customHeight="1">
      <c r="A111" s="1179"/>
      <c r="B111" s="1179"/>
      <c r="C111" s="1179"/>
      <c r="D111" s="1179"/>
      <c r="E111" s="1179"/>
      <c r="F111" s="1179"/>
      <c r="G111" s="1179"/>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0"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28"/>
  <sheetViews>
    <sheetView tabSelected="1" zoomScaleNormal="100" workbookViewId="0">
      <selection activeCell="L25" sqref="L25"/>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39" t="s">
        <v>406</v>
      </c>
    </row>
    <row r="2" spans="1:13" ht="15.75">
      <c r="A2" s="739" t="s">
        <v>406</v>
      </c>
    </row>
    <row r="3" spans="1:13" ht="18">
      <c r="A3" s="1184" t="str">
        <f>TCOS!$F$5</f>
        <v>AEPTCo subsidiaries in PJM</v>
      </c>
      <c r="B3" s="1184" t="str">
        <f>TCOS!$F$5</f>
        <v>AEPTCo subsidiaries in PJM</v>
      </c>
      <c r="C3" s="1184" t="str">
        <f>TCOS!$F$5</f>
        <v>AEPTCo subsidiaries in PJM</v>
      </c>
      <c r="D3" s="1184" t="str">
        <f>TCOS!$F$5</f>
        <v>AEPTCo subsidiaries in PJM</v>
      </c>
      <c r="E3" s="1184" t="str">
        <f>TCOS!$F$5</f>
        <v>AEPTCo subsidiaries in PJM</v>
      </c>
      <c r="F3" s="1184" t="str">
        <f>TCOS!$F$5</f>
        <v>AEPTCo subsidiaries in PJM</v>
      </c>
      <c r="G3" s="1184" t="str">
        <f>TCOS!$F$5</f>
        <v>AEPTCo subsidiaries in PJM</v>
      </c>
      <c r="H3" s="1184" t="str">
        <f>TCOS!$F$5</f>
        <v>AEPTCo subsidiaries in PJM</v>
      </c>
      <c r="I3" s="1184" t="str">
        <f>TCOS!$F$5</f>
        <v>AEPTCo subsidiaries in PJM</v>
      </c>
      <c r="J3" s="1184" t="str">
        <f>TCOS!$F$5</f>
        <v>AEPTCo subsidiaries in PJM</v>
      </c>
      <c r="K3" s="64"/>
      <c r="L3" s="64"/>
      <c r="M3" s="64"/>
    </row>
    <row r="4" spans="1:13" ht="18">
      <c r="A4" s="1183" t="str">
        <f>"Cost of Service Formula Rate Using Actual/Projected FF1 Balances"</f>
        <v>Cost of Service Formula Rate Using Actual/Projected FF1 Balances</v>
      </c>
      <c r="B4" s="1183"/>
      <c r="C4" s="1183"/>
      <c r="D4" s="1183"/>
      <c r="E4" s="1183"/>
      <c r="F4" s="1183"/>
      <c r="G4" s="1183"/>
      <c r="H4" s="1183"/>
      <c r="I4" s="1183"/>
      <c r="J4" s="1183"/>
      <c r="K4" s="44"/>
      <c r="L4" s="44"/>
      <c r="M4" s="44"/>
    </row>
    <row r="5" spans="1:13" ht="18">
      <c r="A5" s="1183" t="s">
        <v>587</v>
      </c>
      <c r="B5" s="1183"/>
      <c r="C5" s="1183"/>
      <c r="D5" s="1183"/>
      <c r="E5" s="1183"/>
      <c r="F5" s="1183"/>
      <c r="G5" s="1183"/>
      <c r="H5" s="1183"/>
      <c r="I5" s="1183"/>
      <c r="J5" s="1183"/>
      <c r="K5" s="65"/>
      <c r="L5" s="65"/>
      <c r="M5" s="65"/>
    </row>
    <row r="6" spans="1:13" ht="18">
      <c r="A6" s="1176" t="str">
        <f>+TCOS!F9</f>
        <v>AEP Appalachian Transmission Company</v>
      </c>
      <c r="B6" s="1176"/>
      <c r="C6" s="1176"/>
      <c r="D6" s="1176"/>
      <c r="E6" s="1176"/>
      <c r="F6" s="1176"/>
      <c r="G6" s="1176"/>
      <c r="H6" s="1176"/>
      <c r="I6" s="1176"/>
      <c r="J6" s="1176"/>
      <c r="K6" s="67"/>
      <c r="L6" s="67"/>
      <c r="M6" s="67"/>
    </row>
    <row r="7" spans="1:13">
      <c r="H7" s="68"/>
    </row>
    <row r="8" spans="1:13" ht="15.75">
      <c r="D8" s="122" t="s">
        <v>554</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Q170"/>
  <sheetViews>
    <sheetView tabSelected="1" view="pageBreakPreview" topLeftCell="A3" zoomScale="60" zoomScaleNormal="100" workbookViewId="0">
      <selection activeCell="L25" sqref="L25"/>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1"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739" t="s">
        <v>406</v>
      </c>
    </row>
    <row r="2" spans="1:16" ht="15.75">
      <c r="A2" s="739" t="s">
        <v>406</v>
      </c>
    </row>
    <row r="3" spans="1:16"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140" t="str">
        <f>TCOS!$F$5</f>
        <v>AEPTCo subsidiaries in PJM</v>
      </c>
      <c r="K3" s="1140" t="str">
        <f>TCOS!$F$5</f>
        <v>AEPTCo subsidiaries in PJM</v>
      </c>
      <c r="L3" s="1140" t="str">
        <f>TCOS!$F$5</f>
        <v>AEPTCo subsidiaries in PJM</v>
      </c>
      <c r="M3" s="1140" t="str">
        <f>TCOS!$F$5</f>
        <v>AEPTCo subsidiaries in PJM</v>
      </c>
      <c r="N3" s="1140" t="str">
        <f>TCOS!$F$5</f>
        <v>AEPTCo subsidiaries in PJM</v>
      </c>
      <c r="O3" s="1140" t="str">
        <f>TCOS!$F$5</f>
        <v>AEPTCo subsidiaries in PJM</v>
      </c>
    </row>
    <row r="4" spans="1:16" ht="15">
      <c r="A4" s="1141" t="str">
        <f>"Cost of Service Formula Rate Using Actual/Projected FF1 Balances"</f>
        <v>Cost of Service Formula Rate Using Actual/Projected FF1 Balances</v>
      </c>
      <c r="B4" s="1141"/>
      <c r="C4" s="1141"/>
      <c r="D4" s="1141"/>
      <c r="E4" s="1141"/>
      <c r="F4" s="1141"/>
      <c r="G4" s="1141"/>
      <c r="H4" s="1141"/>
      <c r="I4" s="1141"/>
      <c r="J4" s="1141"/>
      <c r="K4" s="1141"/>
      <c r="L4" s="1141"/>
      <c r="M4" s="1141"/>
      <c r="N4" s="1141"/>
      <c r="O4" s="1141"/>
    </row>
    <row r="5" spans="1:16" ht="15">
      <c r="A5" s="1141" t="s">
        <v>256</v>
      </c>
      <c r="B5" s="1141"/>
      <c r="C5" s="1141"/>
      <c r="D5" s="1141"/>
      <c r="E5" s="1141"/>
      <c r="F5" s="1141"/>
      <c r="G5" s="1141"/>
      <c r="H5" s="1141"/>
      <c r="I5" s="1141"/>
      <c r="J5" s="1141"/>
      <c r="K5" s="1141"/>
      <c r="L5" s="1141"/>
      <c r="M5" s="1141"/>
      <c r="N5" s="1141"/>
      <c r="O5" s="1141"/>
    </row>
    <row r="6" spans="1:16" ht="15">
      <c r="A6" s="1151" t="str">
        <f>TCOS!F9</f>
        <v>AEP Appalachian Transmission Company</v>
      </c>
      <c r="B6" s="1151"/>
      <c r="C6" s="1151"/>
      <c r="D6" s="1151"/>
      <c r="E6" s="1151"/>
      <c r="F6" s="1151"/>
      <c r="G6" s="1151"/>
      <c r="H6" s="1151"/>
      <c r="I6" s="1151"/>
      <c r="J6" s="1151"/>
      <c r="K6" s="1151"/>
      <c r="L6" s="1151"/>
      <c r="M6" s="1151"/>
      <c r="N6" s="1151"/>
      <c r="O6" s="1151"/>
    </row>
    <row r="8" spans="1:16" ht="20.25">
      <c r="A8" s="447"/>
      <c r="N8" s="398" t="str">
        <f>"Page "&amp;P8&amp;" of "</f>
        <v xml:space="preserve">Page 1 of </v>
      </c>
      <c r="O8" s="448">
        <f>COUNT(P$8:P$56653)</f>
        <v>2</v>
      </c>
      <c r="P8" s="398">
        <v>1</v>
      </c>
    </row>
    <row r="9" spans="1:16" ht="18">
      <c r="C9" s="6"/>
    </row>
    <row r="11" spans="1:16" ht="18">
      <c r="B11" s="449" t="s">
        <v>461</v>
      </c>
      <c r="C11" s="1188" t="str">
        <f>"Calculate Return and Income Taxes with "&amp;F17&amp;" basis point ROE increase for Projects Qualified for Regional Billing."</f>
        <v>Calculate Return and Income Taxes with 0 basis point ROE increase for Projects Qualified for Regional Billing.</v>
      </c>
      <c r="D11" s="1189"/>
      <c r="E11" s="1189"/>
      <c r="F11" s="1189"/>
      <c r="G11" s="1189"/>
      <c r="H11" s="1189"/>
    </row>
    <row r="12" spans="1:16" ht="18.75" customHeight="1">
      <c r="C12" s="1189"/>
      <c r="D12" s="1189"/>
      <c r="E12" s="1189"/>
      <c r="F12" s="1189"/>
      <c r="G12" s="1189"/>
      <c r="H12" s="1189"/>
    </row>
    <row r="13" spans="1:16" ht="15.75" customHeight="1">
      <c r="C13" s="450"/>
      <c r="D13" s="450"/>
      <c r="E13" s="450"/>
      <c r="F13" s="450"/>
      <c r="G13" s="450"/>
      <c r="H13" s="450"/>
    </row>
    <row r="14" spans="1:16" ht="15.75">
      <c r="C14" s="451" t="str">
        <f>"A.   Determine 'R' with hypothetical "&amp;F17&amp;" basis point increase in ROE for Identified Projects"</f>
        <v>A.   Determine 'R' with hypothetical 0 basis point increase in ROE for Identified Projects</v>
      </c>
    </row>
    <row r="16" spans="1:16">
      <c r="C16" s="452" t="str">
        <f>"   ROE w/o incentives  (TCOS, ln "&amp;TCOS!B251&amp;")"</f>
        <v xml:space="preserve">   ROE w/o incentives  (TCOS, ln 138)</v>
      </c>
      <c r="E16" s="453"/>
      <c r="F16" s="454">
        <f>TCOS!J251</f>
        <v>0.10349999999999999</v>
      </c>
      <c r="G16" s="453"/>
      <c r="H16" s="455"/>
      <c r="I16" s="455"/>
      <c r="J16" s="455"/>
      <c r="K16" s="455"/>
      <c r="L16" s="455"/>
      <c r="M16" s="455"/>
      <c r="N16" s="455"/>
      <c r="O16" s="455"/>
      <c r="P16" s="455"/>
    </row>
    <row r="17" spans="3:16">
      <c r="C17" s="452" t="s">
        <v>43</v>
      </c>
      <c r="E17" s="453"/>
      <c r="F17" s="565">
        <v>0</v>
      </c>
      <c r="G17" s="453"/>
      <c r="H17" s="455"/>
      <c r="I17" s="455"/>
      <c r="J17" s="455"/>
    </row>
    <row r="18" spans="3:16">
      <c r="C18" s="452" t="str">
        <f>"   ROE with additional "&amp;F17&amp;" basis point incentive"</f>
        <v xml:space="preserve">   ROE with additional 0 basis point incentive</v>
      </c>
      <c r="D18" s="453"/>
      <c r="E18" s="453"/>
      <c r="F18" s="456">
        <f>IF((F16+(F17/10000)&gt;0.1274),"ERROR",F16+(F17/10000))</f>
        <v>0.10349999999999999</v>
      </c>
      <c r="G18" s="457"/>
      <c r="H18" s="455"/>
      <c r="I18" s="455"/>
      <c r="J18" s="455"/>
    </row>
    <row r="19" spans="3:16">
      <c r="C19" s="452"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3"/>
      <c r="F19" s="458"/>
      <c r="G19" s="453"/>
      <c r="H19" s="455"/>
      <c r="I19" s="455"/>
      <c r="J19" s="455"/>
    </row>
    <row r="20" spans="3:16">
      <c r="C20" s="455"/>
      <c r="D20" s="459" t="s">
        <v>436</v>
      </c>
      <c r="E20" s="459" t="s">
        <v>435</v>
      </c>
      <c r="F20" s="460" t="s">
        <v>44</v>
      </c>
      <c r="G20" s="453"/>
      <c r="H20" s="455"/>
      <c r="I20" s="455"/>
      <c r="J20" s="455"/>
    </row>
    <row r="21" spans="3:16" ht="13.5" thickBot="1">
      <c r="C21" s="461" t="s">
        <v>48</v>
      </c>
      <c r="D21" s="462">
        <f>TCOS!I249</f>
        <v>0.44999999999999996</v>
      </c>
      <c r="E21" s="462">
        <f>TCOS!J249</f>
        <v>4.5448324634166044E-2</v>
      </c>
      <c r="F21" s="463">
        <f>E21*D21</f>
        <v>2.0451746085374718E-2</v>
      </c>
      <c r="G21" s="453"/>
      <c r="H21" s="455"/>
      <c r="I21" s="464"/>
      <c r="J21" s="464"/>
      <c r="K21" s="98"/>
      <c r="L21" s="98"/>
      <c r="M21" s="98"/>
      <c r="N21" s="98"/>
      <c r="O21" s="98"/>
    </row>
    <row r="22" spans="3:16">
      <c r="C22" s="461" t="s">
        <v>49</v>
      </c>
      <c r="D22" s="462">
        <f>TCOS!I250</f>
        <v>0</v>
      </c>
      <c r="E22" s="462">
        <f>TCOS!J250</f>
        <v>0</v>
      </c>
      <c r="F22" s="463">
        <f>E22*D22</f>
        <v>0</v>
      </c>
      <c r="G22" s="465"/>
      <c r="H22" s="465"/>
      <c r="I22" s="466"/>
      <c r="J22" s="466"/>
      <c r="K22" s="1191" t="s">
        <v>231</v>
      </c>
      <c r="L22" s="1192"/>
      <c r="M22" s="1192"/>
      <c r="N22" s="1192"/>
      <c r="O22" s="1193"/>
      <c r="P22" s="466"/>
    </row>
    <row r="23" spans="3:16">
      <c r="C23" s="461" t="s">
        <v>29</v>
      </c>
      <c r="D23" s="462">
        <f>TCOS!I251</f>
        <v>0.55000000000000004</v>
      </c>
      <c r="E23" s="462">
        <f>+F18</f>
        <v>0.10349999999999999</v>
      </c>
      <c r="F23" s="467">
        <f>E23*D23</f>
        <v>5.6925000000000003E-2</v>
      </c>
      <c r="G23" s="465"/>
      <c r="H23" s="465"/>
      <c r="I23" s="466"/>
      <c r="J23" s="466"/>
      <c r="K23" s="1194"/>
      <c r="L23" s="1195"/>
      <c r="M23" s="1195"/>
      <c r="N23" s="1195"/>
      <c r="O23" s="1196"/>
      <c r="P23" s="466"/>
    </row>
    <row r="24" spans="3:16">
      <c r="C24" s="452"/>
      <c r="D24"/>
      <c r="E24" s="468" t="s">
        <v>50</v>
      </c>
      <c r="F24" s="463">
        <f>SUM(F21:F23)</f>
        <v>7.7376746085374717E-2</v>
      </c>
      <c r="G24" s="465"/>
      <c r="H24" s="465"/>
      <c r="I24" s="466"/>
      <c r="J24" s="466"/>
      <c r="K24" s="469"/>
      <c r="L24" s="470"/>
      <c r="M24" s="471" t="s">
        <v>45</v>
      </c>
      <c r="N24" s="471" t="s">
        <v>46</v>
      </c>
      <c r="O24" s="472" t="s">
        <v>47</v>
      </c>
      <c r="P24" s="466"/>
    </row>
    <row r="25" spans="3:16">
      <c r="C25" s="3"/>
      <c r="D25" s="473"/>
      <c r="E25" s="473"/>
      <c r="F25" s="465"/>
      <c r="G25" s="465"/>
      <c r="H25" s="465"/>
      <c r="I25" s="465"/>
      <c r="J25" s="465"/>
      <c r="K25" s="474"/>
      <c r="L25" s="98"/>
      <c r="M25" s="98"/>
      <c r="N25" s="98"/>
      <c r="O25" s="475"/>
      <c r="P25" s="465"/>
    </row>
    <row r="26" spans="3:16" ht="16.5" thickBot="1">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53"/>
      <c r="I26" s="465"/>
      <c r="J26" s="465"/>
      <c r="K26" s="476" t="s">
        <v>51</v>
      </c>
      <c r="L26" s="477">
        <f>+TCOS!L4</f>
        <v>2026</v>
      </c>
      <c r="M26" s="693">
        <f>N88</f>
        <v>0</v>
      </c>
      <c r="N26" s="693">
        <f>N89</f>
        <v>0</v>
      </c>
      <c r="O26" s="478">
        <f>+N26-M26</f>
        <v>0</v>
      </c>
      <c r="P26" s="465"/>
    </row>
    <row r="27" spans="3:16">
      <c r="C27" s="455"/>
      <c r="D27" s="473"/>
      <c r="E27" s="473"/>
      <c r="F27" s="465"/>
      <c r="G27" s="465"/>
      <c r="H27" s="465"/>
      <c r="I27" s="465"/>
      <c r="J27" s="465"/>
      <c r="K27" s="479"/>
      <c r="L27" s="479"/>
      <c r="M27" s="480"/>
      <c r="N27" s="479"/>
      <c r="O27" s="479"/>
      <c r="P27" s="465"/>
    </row>
    <row r="28" spans="3:16">
      <c r="C28" s="452" t="str">
        <f>"   Rate Base  (TCOS, ln "&amp;TCOS!B118&amp;")"</f>
        <v xml:space="preserve">   Rate Base  (TCOS, ln 58)</v>
      </c>
      <c r="D28" s="453"/>
      <c r="F28" s="481">
        <f>TCOS!L118</f>
        <v>133007972.72636339</v>
      </c>
      <c r="G28" s="465"/>
      <c r="H28" s="465"/>
      <c r="I28" s="465"/>
      <c r="J28" s="465"/>
      <c r="K28" s="479"/>
      <c r="L28" s="479"/>
      <c r="M28" s="479"/>
      <c r="N28" s="479"/>
      <c r="O28" s="482"/>
      <c r="P28" s="465"/>
    </row>
    <row r="29" spans="3:16">
      <c r="C29" s="455" t="s">
        <v>276</v>
      </c>
      <c r="D29" s="483"/>
      <c r="F29" s="463">
        <f>F24</f>
        <v>7.7376746085374717E-2</v>
      </c>
      <c r="G29" s="465"/>
      <c r="H29" s="465"/>
      <c r="I29" s="465"/>
      <c r="J29" s="465"/>
      <c r="K29" s="465"/>
      <c r="L29" s="465"/>
      <c r="M29" s="465"/>
      <c r="N29" s="465"/>
      <c r="O29" s="465"/>
      <c r="P29" s="465"/>
    </row>
    <row r="30" spans="3:16">
      <c r="C30" s="484" t="s">
        <v>53</v>
      </c>
      <c r="D30" s="484"/>
      <c r="F30" s="466">
        <f>F28*F29</f>
        <v>10291724.132978266</v>
      </c>
      <c r="G30" s="465"/>
      <c r="H30" s="465"/>
      <c r="I30" s="466"/>
      <c r="J30" s="466"/>
      <c r="K30" s="466"/>
      <c r="L30" s="466"/>
      <c r="M30" s="466"/>
      <c r="N30" s="466"/>
      <c r="O30" s="465"/>
      <c r="P30" s="466"/>
    </row>
    <row r="31" spans="3:16">
      <c r="C31" s="484"/>
      <c r="D31" s="455"/>
      <c r="E31" s="455"/>
      <c r="F31" s="465"/>
      <c r="G31" s="465"/>
      <c r="H31" s="465"/>
      <c r="I31" s="466"/>
      <c r="J31" s="466"/>
      <c r="K31" s="466"/>
      <c r="L31" s="466"/>
      <c r="M31" s="466"/>
      <c r="N31" s="466"/>
      <c r="O31" s="465"/>
      <c r="P31" s="466"/>
    </row>
    <row r="32" spans="3:16"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7"/>
      <c r="J32" s="487"/>
      <c r="K32" s="487"/>
      <c r="L32" s="487"/>
      <c r="M32" s="487"/>
      <c r="N32" s="487"/>
      <c r="O32" s="486"/>
      <c r="P32" s="487"/>
    </row>
    <row r="33" spans="2:16">
      <c r="C33" s="452"/>
      <c r="D33" s="455"/>
      <c r="E33" s="455"/>
      <c r="F33" s="465"/>
      <c r="G33" s="465"/>
      <c r="H33" s="465"/>
      <c r="I33" s="466"/>
      <c r="J33" s="466"/>
      <c r="K33" s="466"/>
      <c r="L33" s="466"/>
      <c r="M33" s="466"/>
      <c r="N33" s="466"/>
      <c r="O33" s="465"/>
      <c r="P33" s="466"/>
    </row>
    <row r="34" spans="2:16">
      <c r="C34" s="455" t="s">
        <v>54</v>
      </c>
      <c r="D34" s="468"/>
      <c r="F34" s="488">
        <f>F30</f>
        <v>10291724.132978266</v>
      </c>
      <c r="G34" s="465"/>
      <c r="H34" s="465"/>
      <c r="I34" s="465"/>
      <c r="J34" s="465"/>
      <c r="K34" s="465"/>
      <c r="L34" s="465"/>
      <c r="M34" s="465"/>
      <c r="N34" s="465"/>
      <c r="O34" s="465"/>
      <c r="P34" s="465"/>
    </row>
    <row r="35" spans="2:16">
      <c r="C35" s="452" t="str">
        <f>"   Effective Tax Rate  (TCOS, ln "&amp;TCOS!B178&amp;")"</f>
        <v xml:space="preserve">   Effective Tax Rate  (TCOS, ln 97)</v>
      </c>
      <c r="D35" s="47"/>
      <c r="F35" s="489">
        <f>TCOS!G178</f>
        <v>0.26040785931942406</v>
      </c>
      <c r="G35" s="3"/>
      <c r="H35" s="490"/>
      <c r="I35" s="3"/>
      <c r="J35" s="3"/>
      <c r="K35" s="3"/>
      <c r="L35" s="3"/>
      <c r="M35" s="3"/>
      <c r="N35" s="3"/>
      <c r="O35" s="3"/>
      <c r="P35" s="3"/>
    </row>
    <row r="36" spans="2:16">
      <c r="C36" s="484" t="s">
        <v>55</v>
      </c>
      <c r="D36" s="47"/>
      <c r="F36" s="491">
        <f>F34*F35</f>
        <v>2680045.8501749258</v>
      </c>
      <c r="G36" s="3"/>
      <c r="H36" s="490"/>
      <c r="I36" s="3"/>
      <c r="J36" s="3"/>
      <c r="K36" s="3"/>
      <c r="L36" s="3"/>
      <c r="M36" s="3"/>
      <c r="N36" s="3"/>
      <c r="O36" s="3"/>
      <c r="P36" s="3"/>
    </row>
    <row r="37" spans="2:16" ht="15">
      <c r="C37" s="452" t="s">
        <v>97</v>
      </c>
      <c r="D37" s="136"/>
      <c r="F37" s="465">
        <f>TCOS!L186</f>
        <v>0</v>
      </c>
      <c r="G37" s="136"/>
      <c r="H37" s="136"/>
      <c r="I37" s="136"/>
      <c r="J37" s="136"/>
      <c r="K37" s="136"/>
      <c r="L37" s="136"/>
      <c r="M37" s="136"/>
      <c r="N37" s="136"/>
      <c r="O37" s="150"/>
      <c r="P37" s="136"/>
    </row>
    <row r="38" spans="2:16" ht="15">
      <c r="C38" s="452" t="s">
        <v>550</v>
      </c>
      <c r="D38" s="136"/>
      <c r="F38" s="465">
        <f>TCOS!L187</f>
        <v>1381.0452888077118</v>
      </c>
      <c r="G38" s="136"/>
      <c r="H38" s="136"/>
      <c r="I38" s="136"/>
      <c r="J38" s="136"/>
      <c r="K38" s="136"/>
      <c r="L38" s="136"/>
      <c r="M38" s="136"/>
      <c r="N38" s="136"/>
      <c r="O38" s="150"/>
      <c r="P38" s="136"/>
    </row>
    <row r="39" spans="2:16" ht="15.75" thickBot="1">
      <c r="C39" s="452" t="s">
        <v>552</v>
      </c>
      <c r="D39" s="136"/>
      <c r="F39" s="492">
        <f>TCOS!L188</f>
        <v>34631.217865283106</v>
      </c>
      <c r="G39" s="136"/>
      <c r="H39" s="136"/>
      <c r="I39" s="136"/>
      <c r="J39" s="136"/>
      <c r="K39" s="136"/>
      <c r="L39" s="136"/>
      <c r="M39" s="136"/>
      <c r="N39" s="136"/>
      <c r="O39" s="150"/>
      <c r="P39" s="136"/>
    </row>
    <row r="40" spans="2:16" ht="15">
      <c r="C40" s="484" t="s">
        <v>56</v>
      </c>
      <c r="D40" s="136"/>
      <c r="F40" s="465">
        <f>F36+F37+F38+F39</f>
        <v>2716058.1133290166</v>
      </c>
      <c r="G40" s="241"/>
      <c r="H40" s="136"/>
      <c r="I40" s="136"/>
      <c r="J40" s="136"/>
      <c r="K40" s="136"/>
      <c r="L40" s="136"/>
      <c r="M40" s="136"/>
      <c r="N40" s="136"/>
      <c r="O40" s="149"/>
      <c r="P40" s="136"/>
    </row>
    <row r="41" spans="2:16" ht="12.75" customHeight="1">
      <c r="C41" s="132"/>
      <c r="D41" s="136"/>
      <c r="E41" s="136"/>
      <c r="F41" s="136"/>
      <c r="G41" s="136"/>
      <c r="H41" s="136"/>
      <c r="I41" s="136"/>
      <c r="J41" s="136"/>
      <c r="K41" s="136"/>
      <c r="L41" s="136"/>
      <c r="M41" s="136"/>
      <c r="N41" s="136"/>
      <c r="O41" s="149"/>
      <c r="P41" s="136"/>
    </row>
    <row r="42" spans="2:16" ht="18.75">
      <c r="B42" s="449" t="s">
        <v>462</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49"/>
      <c r="P42" s="136"/>
    </row>
    <row r="43" spans="2:16" ht="18.75" customHeight="1">
      <c r="C43" s="6" t="str">
        <f>"basis point ROE increase."</f>
        <v>basis point ROE increase.</v>
      </c>
      <c r="D43" s="136"/>
      <c r="E43" s="136"/>
      <c r="F43" s="136"/>
      <c r="G43" s="136"/>
      <c r="H43" s="136"/>
      <c r="I43" s="136"/>
      <c r="J43" s="136"/>
      <c r="K43" s="136"/>
      <c r="L43" s="136"/>
      <c r="M43" s="136"/>
      <c r="N43" s="136"/>
      <c r="O43" s="149"/>
      <c r="P43" s="136"/>
    </row>
    <row r="44" spans="2:16" ht="12.75" customHeight="1">
      <c r="C44" s="6"/>
      <c r="D44" s="136"/>
      <c r="E44" s="136"/>
      <c r="F44" s="136"/>
      <c r="G44" s="136"/>
      <c r="H44" s="136"/>
      <c r="I44" s="136"/>
      <c r="J44" s="136"/>
      <c r="K44" s="136"/>
      <c r="L44" s="136"/>
      <c r="M44" s="136"/>
      <c r="N44" s="136"/>
      <c r="O44" s="149"/>
      <c r="P44" s="136"/>
    </row>
    <row r="45" spans="2:16" ht="15.75">
      <c r="C45" s="451" t="s">
        <v>253</v>
      </c>
      <c r="D45" s="136"/>
      <c r="E45" s="136"/>
      <c r="F45" s="132"/>
      <c r="G45" s="136"/>
      <c r="H45" s="136"/>
      <c r="I45" s="136"/>
      <c r="J45" s="136"/>
      <c r="K45" s="136"/>
      <c r="L45" s="136"/>
      <c r="M45" s="136"/>
      <c r="N45" s="136"/>
      <c r="O45" s="149"/>
      <c r="P45" s="136"/>
    </row>
    <row r="46" spans="2:16">
      <c r="B46" s="3"/>
      <c r="C46" s="452"/>
      <c r="D46" s="453"/>
      <c r="E46" s="453"/>
      <c r="F46" s="453"/>
      <c r="G46" s="453"/>
      <c r="H46" s="453"/>
      <c r="I46" s="453"/>
      <c r="J46" s="453"/>
      <c r="K46" s="453"/>
      <c r="L46" s="453"/>
      <c r="M46" s="453"/>
      <c r="N46" s="453"/>
      <c r="O46" s="465"/>
      <c r="P46" s="453"/>
    </row>
    <row r="47" spans="2:16" ht="12.75" customHeight="1">
      <c r="B47" s="3"/>
      <c r="C47" s="452" t="str">
        <f>"   Annual Revenue Requirement  (TCOS, ln "&amp;TCOS!B13&amp;")"</f>
        <v xml:space="preserve">   Annual Revenue Requirement  (TCOS, ln 1)</v>
      </c>
      <c r="D47" s="453"/>
      <c r="E47" s="453"/>
      <c r="G47" s="465">
        <f>TCOS!L13</f>
        <v>22200358.514273893</v>
      </c>
      <c r="H47" s="696"/>
      <c r="I47" s="453"/>
      <c r="J47" s="453"/>
      <c r="K47" s="453"/>
      <c r="L47" s="453"/>
      <c r="M47" s="453"/>
      <c r="N47" s="453"/>
      <c r="O47" s="465"/>
      <c r="P47" s="453"/>
    </row>
    <row r="48" spans="2:16" ht="12.75" customHeight="1">
      <c r="B48" s="3"/>
      <c r="C48" s="452" t="str">
        <f>"   Lease Payments (TCOS, Ln "&amp;TCOS!B157&amp;")"</f>
        <v xml:space="preserve">   Lease Payments (TCOS, Ln 80)</v>
      </c>
      <c r="D48" s="453"/>
      <c r="E48" s="453"/>
      <c r="G48" s="465">
        <f>+TCOS!L157</f>
        <v>0</v>
      </c>
      <c r="H48" s="696"/>
      <c r="I48" s="453"/>
      <c r="J48" s="453"/>
      <c r="K48" s="453"/>
      <c r="L48" s="453"/>
      <c r="M48" s="453"/>
      <c r="N48" s="453"/>
      <c r="O48" s="465"/>
      <c r="P48" s="453"/>
    </row>
    <row r="49" spans="2:16">
      <c r="B49" s="3"/>
      <c r="C49" s="452" t="str">
        <f>"   Return  (TCOS, ln "&amp;TCOS!B191&amp;")"</f>
        <v xml:space="preserve">   Return  (TCOS, ln 109)</v>
      </c>
      <c r="D49" s="453"/>
      <c r="E49" s="453"/>
      <c r="G49" s="466">
        <f>TCOS!L191</f>
        <v>10291724.132978266</v>
      </c>
      <c r="H49" s="697"/>
      <c r="I49" s="453"/>
      <c r="J49" s="452"/>
      <c r="K49" s="452"/>
      <c r="L49" s="452"/>
      <c r="M49" s="452"/>
      <c r="N49" s="452"/>
      <c r="O49" s="465"/>
      <c r="P49" s="452"/>
    </row>
    <row r="50" spans="2:16">
      <c r="B50" s="3"/>
      <c r="C50" s="452" t="str">
        <f>"   Income Taxes  (TCOS, ln "&amp;TCOS!B189&amp;")"</f>
        <v xml:space="preserve">   Income Taxes  (TCOS, ln 108)</v>
      </c>
      <c r="D50" s="453"/>
      <c r="E50" s="453"/>
      <c r="G50" s="494">
        <f>F40</f>
        <v>2716058.1133290166</v>
      </c>
      <c r="H50" s="696"/>
      <c r="I50" s="453"/>
      <c r="J50" s="495"/>
      <c r="K50" s="495"/>
      <c r="L50" s="495"/>
      <c r="M50" s="495"/>
      <c r="N50" s="495"/>
      <c r="O50" s="453"/>
      <c r="P50" s="495"/>
    </row>
    <row r="51" spans="2:16">
      <c r="B51" s="3"/>
      <c r="C51" s="3" t="s">
        <v>607</v>
      </c>
      <c r="D51" s="453"/>
      <c r="E51" s="453"/>
      <c r="G51" s="466">
        <f>G47-G49-G50-G48</f>
        <v>9192576.2679666094</v>
      </c>
      <c r="H51" s="466"/>
      <c r="I51" s="453"/>
      <c r="J51" s="496"/>
      <c r="K51" s="496"/>
      <c r="L51" s="496"/>
      <c r="M51" s="496"/>
      <c r="N51" s="496"/>
      <c r="O51" s="496"/>
      <c r="P51" s="496"/>
    </row>
    <row r="52" spans="2:16">
      <c r="B52" s="3"/>
      <c r="C52" s="452"/>
      <c r="D52" s="453"/>
      <c r="E52" s="453"/>
      <c r="F52" s="465"/>
      <c r="G52" s="497"/>
      <c r="H52" s="498"/>
      <c r="I52" s="453"/>
      <c r="J52" s="498"/>
      <c r="K52" s="498"/>
      <c r="L52" s="498"/>
      <c r="M52" s="498"/>
      <c r="N52" s="498"/>
      <c r="O52" s="498"/>
      <c r="P52" s="498"/>
    </row>
    <row r="53" spans="2:16" ht="15.75">
      <c r="B53" s="3"/>
      <c r="C53" s="451" t="str">
        <f>"B.   Determine Annual Revenue Requirement with hypothetical "&amp;F17&amp;" basis point increase in ROE."</f>
        <v>B.   Determine Annual Revenue Requirement with hypothetical 0 basis point increase in ROE.</v>
      </c>
      <c r="D53" s="455"/>
      <c r="E53" s="455"/>
      <c r="F53" s="465"/>
      <c r="G53" s="497"/>
      <c r="H53" s="498"/>
      <c r="I53" s="498"/>
      <c r="J53" s="498"/>
      <c r="K53" s="498"/>
      <c r="L53" s="498"/>
      <c r="M53" s="498"/>
      <c r="N53" s="498"/>
      <c r="O53" s="498"/>
      <c r="P53" s="498"/>
    </row>
    <row r="54" spans="2:16">
      <c r="B54" s="3"/>
      <c r="C54" s="452"/>
      <c r="D54" s="455"/>
      <c r="E54" s="455"/>
      <c r="F54" s="465"/>
      <c r="G54" s="497"/>
      <c r="H54" s="498"/>
      <c r="I54" s="498"/>
      <c r="J54" s="498"/>
      <c r="K54" s="498"/>
      <c r="L54" s="498"/>
      <c r="M54" s="498"/>
      <c r="N54" s="498"/>
      <c r="O54" s="498"/>
      <c r="P54" s="498"/>
    </row>
    <row r="55" spans="2:16">
      <c r="B55" s="3"/>
      <c r="C55" s="452" t="str">
        <f>C51</f>
        <v xml:space="preserve">   Annual Revenue Requirement, Less Return and Taxes</v>
      </c>
      <c r="D55" s="455"/>
      <c r="E55" s="455"/>
      <c r="G55" s="465">
        <f>G51</f>
        <v>9192576.2679666094</v>
      </c>
      <c r="H55" s="465"/>
      <c r="I55" s="453"/>
      <c r="J55" s="453"/>
      <c r="K55" s="453"/>
      <c r="L55" s="453"/>
      <c r="M55" s="453"/>
      <c r="N55" s="453"/>
      <c r="O55" s="499"/>
      <c r="P55" s="453"/>
    </row>
    <row r="56" spans="2:16">
      <c r="B56" s="3"/>
      <c r="C56" s="455" t="s">
        <v>94</v>
      </c>
      <c r="D56" s="47"/>
      <c r="E56" s="3"/>
      <c r="G56" s="491">
        <f>F30</f>
        <v>10291724.132978266</v>
      </c>
      <c r="H56" s="698"/>
      <c r="I56" s="453"/>
      <c r="J56" s="3"/>
      <c r="K56" s="3"/>
      <c r="L56" s="3"/>
      <c r="M56" s="3"/>
      <c r="N56" s="3"/>
      <c r="O56" s="3"/>
      <c r="P56" s="3"/>
    </row>
    <row r="57" spans="2:16" ht="12.75" customHeight="1">
      <c r="B57" s="3"/>
      <c r="C57" s="452" t="s">
        <v>62</v>
      </c>
      <c r="D57" s="453"/>
      <c r="E57" s="453"/>
      <c r="G57" s="494">
        <f>F40</f>
        <v>2716058.1133290166</v>
      </c>
      <c r="H57" s="696"/>
      <c r="I57" s="453"/>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1">
        <f>SUM(G55:G57)</f>
        <v>22200358.514273889</v>
      </c>
      <c r="H58" s="698"/>
      <c r="I58" s="453"/>
      <c r="J58" s="3"/>
      <c r="K58" s="3"/>
      <c r="L58" s="3"/>
      <c r="M58" s="3"/>
      <c r="N58" s="3"/>
      <c r="O58" s="3"/>
      <c r="P58" s="3"/>
    </row>
    <row r="59" spans="2:16">
      <c r="B59" s="3"/>
      <c r="C59" s="452" t="str">
        <f>"   Depreciation &amp; Amortization (TCOS, ln "&amp;TCOS!B161&amp;")"</f>
        <v xml:space="preserve">   Depreciation &amp; Amortization (TCOS, ln 83)</v>
      </c>
      <c r="D59" s="47"/>
      <c r="E59" s="3"/>
      <c r="G59" s="500">
        <f>TCOS!L161</f>
        <v>4404333.8212330546</v>
      </c>
      <c r="H59" s="698"/>
      <c r="I59" s="453"/>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1">
        <f>G58-G59</f>
        <v>17796024.693040833</v>
      </c>
      <c r="H60" s="698"/>
      <c r="I60" s="453"/>
      <c r="J60" s="3"/>
      <c r="K60" s="3"/>
      <c r="L60" s="3"/>
      <c r="M60" s="3"/>
      <c r="N60" s="3"/>
      <c r="O60" s="3"/>
      <c r="P60" s="3"/>
    </row>
    <row r="61" spans="2:16">
      <c r="B61" s="3"/>
      <c r="C61" s="3"/>
      <c r="D61" s="47"/>
      <c r="E61" s="3"/>
      <c r="F61" s="3"/>
      <c r="G61" s="3"/>
      <c r="H61" s="699"/>
      <c r="I61" s="453"/>
      <c r="J61" s="3"/>
      <c r="K61" s="3"/>
      <c r="L61" s="3"/>
      <c r="M61" s="3"/>
      <c r="N61" s="3"/>
      <c r="O61" s="3"/>
      <c r="P61" s="3"/>
    </row>
    <row r="62" spans="2:16" ht="15.75">
      <c r="B62" s="3"/>
      <c r="C62" s="451" t="str">
        <f>"C.   Determine FCR with hypothetical "&amp;F17&amp;" basis point ROE increase."</f>
        <v>C.   Determine FCR with hypothetical 0 basis point ROE increase.</v>
      </c>
      <c r="D62" s="47"/>
      <c r="E62" s="3"/>
      <c r="F62" s="3"/>
      <c r="G62" s="3"/>
      <c r="H62" s="699"/>
      <c r="I62" s="453"/>
      <c r="J62" s="3"/>
      <c r="K62" s="3"/>
      <c r="L62" s="3"/>
      <c r="M62" s="3"/>
      <c r="N62" s="3"/>
      <c r="O62" s="3"/>
      <c r="P62" s="3"/>
    </row>
    <row r="63" spans="2:16">
      <c r="B63" s="3"/>
      <c r="C63" s="3"/>
      <c r="D63" s="47"/>
      <c r="E63" s="3"/>
      <c r="F63" s="3"/>
      <c r="G63" s="3"/>
      <c r="H63" s="699"/>
      <c r="I63" s="453"/>
      <c r="J63" s="3"/>
      <c r="K63" s="3"/>
      <c r="L63" s="3"/>
      <c r="M63" s="3"/>
      <c r="N63" s="3"/>
      <c r="O63" s="3"/>
      <c r="P63" s="3"/>
    </row>
    <row r="64" spans="2:16">
      <c r="B64" s="3"/>
      <c r="C64" s="452" t="str">
        <f>"   Net Transmission Plant  (Projected TCOS, ln "&amp;TCOS!B83&amp;")"</f>
        <v xml:space="preserve">   Net Transmission Plant  (Projected TCOS, ln 33)</v>
      </c>
      <c r="D64" s="47"/>
      <c r="E64" s="3"/>
      <c r="G64" s="491">
        <f>TCOS!L83</f>
        <v>140848753.40974069</v>
      </c>
      <c r="H64" s="698"/>
      <c r="I64" s="453"/>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1">
        <f>G58</f>
        <v>22200358.514273889</v>
      </c>
      <c r="H65" s="698"/>
      <c r="I65" s="453"/>
      <c r="J65" s="3"/>
      <c r="K65" s="3"/>
      <c r="L65" s="3"/>
      <c r="M65" s="3"/>
      <c r="N65" s="3"/>
      <c r="O65" s="3"/>
      <c r="P65" s="3"/>
    </row>
    <row r="66" spans="2:17">
      <c r="B66" s="3"/>
      <c r="C66" s="3" t="str">
        <f>"   FCR with "&amp;F17&amp;" Basis Point increase in ROE"</f>
        <v xml:space="preserve">   FCR with 0 Basis Point increase in ROE</v>
      </c>
      <c r="D66" s="47"/>
      <c r="E66" s="3"/>
      <c r="G66" s="489">
        <f>IF(G64=0,0,G65/G64)</f>
        <v>0.15761842385421196</v>
      </c>
      <c r="H66" s="700"/>
      <c r="I66" s="453"/>
      <c r="J66" s="3"/>
      <c r="K66" s="3"/>
      <c r="L66" s="3"/>
      <c r="M66" s="3"/>
      <c r="N66" s="3"/>
      <c r="O66" s="3"/>
      <c r="P66" s="3"/>
    </row>
    <row r="67" spans="2:17">
      <c r="B67" s="3"/>
      <c r="C67" s="41"/>
      <c r="D67" s="47"/>
      <c r="E67" s="3"/>
      <c r="G67" s="3"/>
      <c r="H67" s="290"/>
      <c r="I67" s="453"/>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1">
        <f>G60</f>
        <v>17796024.693040833</v>
      </c>
      <c r="H68" s="698"/>
      <c r="I68" s="453"/>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89">
        <f>IF(G64=0,0,G68/G64)</f>
        <v>0.12634847140798416</v>
      </c>
      <c r="H69" s="700"/>
      <c r="I69" s="501"/>
      <c r="J69" s="3"/>
      <c r="K69" s="3"/>
      <c r="L69" s="3"/>
      <c r="M69" s="3"/>
      <c r="N69" s="3"/>
      <c r="O69" s="3"/>
      <c r="P69" s="3"/>
    </row>
    <row r="70" spans="2:17">
      <c r="B70" s="3"/>
      <c r="C70" s="452" t="str">
        <f>"   FCR less Depreciation  (TCOS, ln "&amp;TCOS!B31&amp;")"</f>
        <v xml:space="preserve">   FCR less Depreciation  (TCOS, ln 10)</v>
      </c>
      <c r="D70" s="47"/>
      <c r="E70" s="3"/>
      <c r="G70" s="502">
        <f>TCOS!L31</f>
        <v>0.12634847140798422</v>
      </c>
      <c r="H70" s="701"/>
      <c r="I70" s="501"/>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89">
        <f>G69-G70</f>
        <v>0</v>
      </c>
      <c r="H71" s="700"/>
      <c r="I71" s="453"/>
      <c r="J71" s="3"/>
      <c r="K71" s="3"/>
      <c r="L71" s="3"/>
      <c r="M71" s="3"/>
      <c r="N71" s="3"/>
      <c r="O71" s="3"/>
      <c r="P71" s="3"/>
    </row>
    <row r="72" spans="2:17">
      <c r="B72" s="3"/>
      <c r="C72" s="3"/>
      <c r="D72" s="47"/>
      <c r="E72" s="3"/>
      <c r="F72" s="489"/>
      <c r="G72" s="3"/>
      <c r="H72" s="699"/>
      <c r="I72" s="3"/>
      <c r="J72" s="3"/>
      <c r="K72" s="3"/>
      <c r="L72" s="3"/>
      <c r="M72" s="3"/>
      <c r="N72" s="3"/>
      <c r="O72" s="3"/>
      <c r="P72" s="3"/>
    </row>
    <row r="73" spans="2:17" ht="18.75">
      <c r="B73" s="449" t="s">
        <v>463</v>
      </c>
      <c r="C73" s="6" t="s">
        <v>63</v>
      </c>
      <c r="D73" s="47"/>
      <c r="E73" s="3"/>
      <c r="F73" s="489"/>
      <c r="G73" s="3"/>
      <c r="H73" s="699"/>
      <c r="I73" s="3"/>
      <c r="J73" s="3"/>
      <c r="K73" s="3"/>
      <c r="L73" s="3"/>
      <c r="M73" s="3"/>
      <c r="N73" s="3"/>
      <c r="O73" s="3"/>
      <c r="P73" s="3"/>
    </row>
    <row r="74" spans="2:17">
      <c r="B74" s="3"/>
      <c r="C74" s="3"/>
      <c r="D74" s="47"/>
      <c r="E74" s="3"/>
      <c r="F74" s="489"/>
      <c r="G74" s="3"/>
      <c r="H74" s="699"/>
      <c r="I74" s="3"/>
      <c r="J74" s="3"/>
      <c r="K74" s="3"/>
      <c r="L74" s="3"/>
      <c r="M74" s="3"/>
      <c r="N74" s="3"/>
      <c r="O74" s="3"/>
      <c r="P74" s="3"/>
    </row>
    <row r="75" spans="2:17">
      <c r="B75" s="3"/>
      <c r="C75" s="3" t="str">
        <f>+"Average Transmission Plant Balance for "&amp;TCOS!L4&amp;" TCOS, ln "&amp;TCOS!B63</f>
        <v>Average Transmission Plant Balance for 2026 TCOS, ln 19</v>
      </c>
      <c r="D75" s="47"/>
      <c r="E75" s="3"/>
      <c r="F75" s="3"/>
      <c r="G75" s="343">
        <f>TCOS!L63</f>
        <v>160351300.63081348</v>
      </c>
      <c r="I75" s="3"/>
      <c r="J75" s="3"/>
      <c r="K75" s="503"/>
      <c r="L75" s="3"/>
      <c r="M75" s="3"/>
      <c r="N75" s="3"/>
      <c r="O75" s="3"/>
      <c r="P75" s="3"/>
    </row>
    <row r="76" spans="2:17">
      <c r="B76" s="3"/>
      <c r="C76" s="3" t="str">
        <f>"Annual Depreciation and Amortization Expense (TCOS, ln "&amp;TCOS!B161&amp;")"</f>
        <v>Annual Depreciation and Amortization Expense (TCOS, ln 83)</v>
      </c>
      <c r="D76" s="47"/>
      <c r="E76" s="3"/>
      <c r="G76" s="343">
        <f>TCOS!L161</f>
        <v>4404333.8212330546</v>
      </c>
      <c r="H76" s="490"/>
      <c r="I76" s="3"/>
      <c r="J76" s="3"/>
      <c r="K76" s="3"/>
      <c r="L76" s="3"/>
      <c r="M76" s="3"/>
      <c r="N76" s="3"/>
      <c r="O76" s="3"/>
      <c r="P76" s="3"/>
    </row>
    <row r="77" spans="2:17" ht="12.75" customHeight="1">
      <c r="B77" s="3"/>
      <c r="C77" s="3" t="s">
        <v>64</v>
      </c>
      <c r="D77" s="47"/>
      <c r="E77" s="3"/>
      <c r="G77" s="646">
        <f>G76/G75</f>
        <v>2.7466779526618367E-2</v>
      </c>
      <c r="H77" s="504"/>
      <c r="I77" s="1190"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Appalachian Transmission Company establishes Transmission plant in service the depreciation expense component of the carrying charge will be calculated as in the Operating Company formula approved in Docket No. ER08-1329.  The calculation for AEP Appalachian Transmission Company is shown on Worksheet P.</v>
      </c>
      <c r="J77" s="1190"/>
      <c r="K77" s="1190"/>
      <c r="L77" s="1190"/>
      <c r="M77" s="1190"/>
      <c r="N77" s="1190"/>
      <c r="O77" s="1190"/>
      <c r="P77" s="450"/>
      <c r="Q77" s="450"/>
    </row>
    <row r="78" spans="2:17">
      <c r="B78" s="3"/>
      <c r="C78" s="3" t="s">
        <v>65</v>
      </c>
      <c r="D78" s="47"/>
      <c r="E78" s="3"/>
      <c r="G78" s="505">
        <f>IF(G77=0,0,1/G77)</f>
        <v>36.407617392162365</v>
      </c>
      <c r="H78" s="490"/>
      <c r="I78" s="1190"/>
      <c r="J78" s="1190"/>
      <c r="K78" s="1190"/>
      <c r="L78" s="1190"/>
      <c r="M78" s="1190"/>
      <c r="N78" s="1190"/>
      <c r="O78" s="1190"/>
      <c r="P78" s="450"/>
      <c r="Q78" s="450"/>
    </row>
    <row r="79" spans="2:17">
      <c r="B79" s="3"/>
      <c r="C79" s="3" t="s">
        <v>588</v>
      </c>
      <c r="D79" s="47"/>
      <c r="E79" s="3"/>
      <c r="G79" s="506">
        <f>ROUND(G78,0)</f>
        <v>36</v>
      </c>
      <c r="H79" s="490"/>
      <c r="I79" s="1190"/>
      <c r="J79" s="1190"/>
      <c r="K79" s="1190"/>
      <c r="L79" s="1190"/>
      <c r="M79" s="1190"/>
      <c r="N79" s="1190"/>
      <c r="O79" s="1190"/>
      <c r="P79" s="450"/>
      <c r="Q79" s="450"/>
    </row>
    <row r="80" spans="2:17">
      <c r="B80" s="3"/>
      <c r="C80" s="3"/>
      <c r="D80" s="47"/>
      <c r="E80" s="3"/>
      <c r="G80" s="506"/>
      <c r="H80" s="490"/>
      <c r="I80" s="1190"/>
      <c r="J80" s="1190"/>
      <c r="K80" s="1190"/>
      <c r="L80" s="1190"/>
      <c r="M80" s="1190"/>
      <c r="N80" s="1190"/>
      <c r="O80" s="1190"/>
    </row>
    <row r="81" spans="1:16">
      <c r="C81" s="507"/>
      <c r="D81" s="506"/>
      <c r="E81" s="506"/>
      <c r="F81" s="506"/>
      <c r="G81" s="503"/>
      <c r="H81" s="503"/>
    </row>
    <row r="82" spans="1:16" ht="20.25">
      <c r="A82" s="447" t="str">
        <f>""&amp;A6&amp;" Worksheet J -  ATRR PROJECTED Calculation for PJM Projects Charged to Benefiting Zones"</f>
        <v>AEP Appalachian Transmission Company Worksheet J -  ATRR PROJECTED Calculation for PJM Projects Charged to Benefiting Zones</v>
      </c>
      <c r="B82" s="3"/>
      <c r="C82" s="3"/>
      <c r="D82" s="47"/>
      <c r="E82" s="3"/>
      <c r="F82" s="489"/>
      <c r="G82" s="3"/>
      <c r="H82" s="490"/>
      <c r="K82" s="398"/>
      <c r="L82" s="398"/>
      <c r="M82" s="398"/>
      <c r="N82" s="398" t="str">
        <f>"Page "&amp;SUM(P$8:P82)&amp;" of "</f>
        <v xml:space="preserve">Page 2 of </v>
      </c>
      <c r="O82" s="448">
        <f>COUNT(P$8:P$56653)</f>
        <v>2</v>
      </c>
      <c r="P82" s="508">
        <v>1</v>
      </c>
    </row>
    <row r="83" spans="1:16">
      <c r="B83" s="3"/>
      <c r="C83" s="3"/>
      <c r="D83" s="47"/>
      <c r="E83" s="3"/>
      <c r="F83" s="3"/>
      <c r="G83" s="3"/>
      <c r="H83" s="490"/>
      <c r="I83" s="3"/>
      <c r="J83" s="3"/>
      <c r="K83" s="3"/>
      <c r="L83" s="3"/>
      <c r="M83" s="3"/>
      <c r="N83" s="3"/>
      <c r="O83" s="3"/>
      <c r="P83" s="3"/>
    </row>
    <row r="84" spans="1:16" ht="18">
      <c r="B84" s="449" t="s">
        <v>464</v>
      </c>
      <c r="C84" s="122" t="s">
        <v>85</v>
      </c>
      <c r="D84" s="47"/>
      <c r="E84" s="3"/>
      <c r="F84" s="3"/>
      <c r="G84" s="3"/>
      <c r="H84" s="490"/>
      <c r="I84" s="490"/>
      <c r="J84" s="503"/>
      <c r="K84" s="490"/>
      <c r="L84" s="490"/>
      <c r="M84" s="490"/>
      <c r="N84" s="490"/>
      <c r="O84" s="3"/>
    </row>
    <row r="85" spans="1:16" ht="18.75">
      <c r="B85" s="449"/>
      <c r="C85" s="6"/>
      <c r="D85" s="47"/>
      <c r="E85" s="3"/>
      <c r="F85" s="3"/>
      <c r="G85" s="3"/>
      <c r="H85" s="490"/>
      <c r="I85" s="490"/>
      <c r="J85" s="503"/>
      <c r="K85" s="490"/>
      <c r="L85" s="490"/>
      <c r="M85" s="490"/>
      <c r="N85" s="490"/>
      <c r="O85" s="3"/>
    </row>
    <row r="86" spans="1:16" ht="18.75">
      <c r="B86" s="449"/>
      <c r="C86" s="6" t="s">
        <v>86</v>
      </c>
      <c r="D86" s="47"/>
      <c r="E86" s="3"/>
      <c r="F86" s="3"/>
      <c r="G86" s="3"/>
      <c r="H86" s="490"/>
      <c r="I86" s="490"/>
      <c r="J86" s="503"/>
      <c r="K86" s="490"/>
      <c r="L86" s="490"/>
      <c r="M86" s="490"/>
      <c r="N86" s="490"/>
      <c r="O86" s="3"/>
    </row>
    <row r="87" spans="1:16" ht="15.75" thickBot="1">
      <c r="C87" s="132"/>
      <c r="D87" s="47"/>
      <c r="E87" s="3"/>
      <c r="F87" s="3"/>
      <c r="G87" s="3"/>
      <c r="H87" s="490"/>
      <c r="I87" s="490"/>
      <c r="J87" s="503"/>
      <c r="K87" s="490"/>
      <c r="L87" s="490"/>
      <c r="M87" s="490"/>
      <c r="N87" s="490"/>
      <c r="O87" s="3"/>
    </row>
    <row r="88" spans="1:16" ht="15.75">
      <c r="C88" s="451" t="s">
        <v>87</v>
      </c>
      <c r="D88" s="47"/>
      <c r="E88" s="3"/>
      <c r="F88" s="3"/>
      <c r="G88" s="566"/>
      <c r="H88" s="3" t="s">
        <v>66</v>
      </c>
      <c r="I88" s="3"/>
      <c r="J88" s="3"/>
      <c r="K88" s="509" t="s">
        <v>91</v>
      </c>
      <c r="L88" s="510"/>
      <c r="M88" s="511"/>
      <c r="N88" s="512">
        <v>0</v>
      </c>
      <c r="O88" s="3"/>
    </row>
    <row r="89" spans="1:16" ht="15.75">
      <c r="C89" s="451"/>
      <c r="D89" s="47"/>
      <c r="E89" s="3"/>
      <c r="F89" s="3"/>
      <c r="G89" s="3"/>
      <c r="H89" s="513"/>
      <c r="I89" s="513"/>
      <c r="J89" s="514"/>
      <c r="K89" s="515" t="s">
        <v>92</v>
      </c>
      <c r="L89" s="516"/>
      <c r="M89" s="3"/>
      <c r="N89" s="517">
        <v>0</v>
      </c>
      <c r="O89" s="3"/>
    </row>
    <row r="90" spans="1:16" ht="13.5" thickBot="1">
      <c r="C90" s="518" t="s">
        <v>88</v>
      </c>
      <c r="D90" s="1185"/>
      <c r="E90" s="1185"/>
      <c r="F90" s="1185"/>
      <c r="G90" s="1185"/>
      <c r="H90" s="1185"/>
      <c r="I90" s="1185"/>
      <c r="J90" s="503"/>
      <c r="K90" s="519" t="s">
        <v>230</v>
      </c>
      <c r="L90" s="520"/>
      <c r="M90" s="520"/>
      <c r="N90" s="521">
        <f>+N89-N88</f>
        <v>0</v>
      </c>
      <c r="O90" s="3"/>
    </row>
    <row r="91" spans="1:16">
      <c r="C91" s="522"/>
      <c r="D91" s="523"/>
      <c r="E91" s="506"/>
      <c r="F91" s="506"/>
      <c r="G91" s="524"/>
      <c r="H91" s="490"/>
      <c r="I91" s="490"/>
      <c r="J91" s="503"/>
      <c r="K91" s="490"/>
      <c r="L91" s="490"/>
      <c r="M91" s="490"/>
      <c r="N91" s="490"/>
      <c r="O91" s="3"/>
    </row>
    <row r="92" spans="1:16" ht="13.5" thickBot="1">
      <c r="C92" s="522"/>
      <c r="D92" s="3"/>
      <c r="E92" s="524"/>
      <c r="F92" s="524"/>
      <c r="G92" s="524"/>
      <c r="H92" s="524"/>
      <c r="I92" s="524"/>
      <c r="J92" s="524"/>
      <c r="K92" s="524"/>
      <c r="L92" s="524"/>
      <c r="M92" s="524"/>
      <c r="N92" s="524"/>
      <c r="O92" s="3"/>
    </row>
    <row r="93" spans="1:16" ht="13.5" thickBot="1">
      <c r="C93" s="525" t="s">
        <v>89</v>
      </c>
      <c r="D93" s="526"/>
      <c r="E93" s="526"/>
      <c r="F93" s="526"/>
      <c r="G93" s="526"/>
      <c r="H93" s="526"/>
      <c r="I93" s="527"/>
      <c r="K93" s="3"/>
      <c r="L93" s="3"/>
      <c r="M93" s="3"/>
      <c r="N93" s="3"/>
      <c r="O93" s="3"/>
    </row>
    <row r="94" spans="1:16" ht="15">
      <c r="C94" s="528" t="s">
        <v>67</v>
      </c>
      <c r="D94" s="568"/>
      <c r="E94" s="3" t="s">
        <v>68</v>
      </c>
      <c r="G94" s="47"/>
      <c r="H94" s="47"/>
      <c r="I94" s="529">
        <v>2017</v>
      </c>
      <c r="J94" s="70"/>
      <c r="K94" s="1187" t="s">
        <v>239</v>
      </c>
      <c r="L94" s="1187"/>
      <c r="M94" s="1187"/>
      <c r="N94" s="1187"/>
      <c r="O94" s="1187"/>
    </row>
    <row r="95" spans="1:16">
      <c r="C95" s="528" t="s">
        <v>70</v>
      </c>
      <c r="D95" s="569"/>
      <c r="E95" s="528" t="s">
        <v>71</v>
      </c>
      <c r="F95" s="47"/>
      <c r="H95"/>
      <c r="I95" s="570">
        <f>IF(G88="",0,$F$17)</f>
        <v>0</v>
      </c>
      <c r="J95" s="530"/>
      <c r="K95" s="503" t="s">
        <v>239</v>
      </c>
    </row>
    <row r="96" spans="1:16">
      <c r="C96" s="528" t="s">
        <v>72</v>
      </c>
      <c r="D96" s="568"/>
      <c r="E96" s="528" t="s">
        <v>73</v>
      </c>
      <c r="F96" s="47"/>
      <c r="H96"/>
      <c r="I96" s="531">
        <f>$G$70</f>
        <v>0.12634847140798422</v>
      </c>
      <c r="J96" s="489"/>
      <c r="K96" t="str">
        <f>"          INPUT PROJECTED ARR (WITH &amp; WITHOUT INCENTIVES) FROM EACH PRIOR YEAR"</f>
        <v xml:space="preserve">          INPUT PROJECTED ARR (WITH &amp; WITHOUT INCENTIVES) FROM EACH PRIOR YEAR</v>
      </c>
    </row>
    <row r="97" spans="2:15">
      <c r="C97" s="528" t="s">
        <v>74</v>
      </c>
      <c r="D97" s="532">
        <f>$G$79</f>
        <v>36</v>
      </c>
      <c r="E97" s="528" t="s">
        <v>75</v>
      </c>
      <c r="F97" s="47"/>
      <c r="H97"/>
      <c r="I97" s="531">
        <f>IF(G88="",I96,$G$69)</f>
        <v>0.12634847140798422</v>
      </c>
      <c r="J97" s="489"/>
      <c r="K97" t="s">
        <v>152</v>
      </c>
    </row>
    <row r="98" spans="2:15" ht="13.5" thickBot="1">
      <c r="C98" s="528" t="s">
        <v>76</v>
      </c>
      <c r="D98" s="567"/>
      <c r="E98" s="533" t="s">
        <v>77</v>
      </c>
      <c r="F98" s="534"/>
      <c r="G98" s="535"/>
      <c r="H98" s="535"/>
      <c r="I98" s="521">
        <f>IF(D94=0,0,D94/D97)</f>
        <v>0</v>
      </c>
      <c r="J98" s="503"/>
      <c r="K98" s="503" t="s">
        <v>158</v>
      </c>
      <c r="L98" s="503"/>
      <c r="M98" s="503"/>
      <c r="N98" s="503"/>
      <c r="O98" s="3"/>
    </row>
    <row r="99" spans="2:15" ht="51">
      <c r="B99" s="450"/>
      <c r="C99" s="536" t="s">
        <v>67</v>
      </c>
      <c r="D99" s="537" t="s">
        <v>78</v>
      </c>
      <c r="E99" s="538" t="s">
        <v>79</v>
      </c>
      <c r="F99" s="537" t="s">
        <v>80</v>
      </c>
      <c r="G99" s="538" t="s">
        <v>151</v>
      </c>
      <c r="H99" s="539" t="s">
        <v>151</v>
      </c>
      <c r="I99" s="536" t="s">
        <v>90</v>
      </c>
      <c r="J99" s="540"/>
      <c r="K99" s="538" t="s">
        <v>160</v>
      </c>
      <c r="L99" s="541"/>
      <c r="M99" s="538" t="s">
        <v>160</v>
      </c>
      <c r="N99" s="541"/>
      <c r="O99" s="541"/>
    </row>
    <row r="100" spans="2:15" ht="13.5" thickBot="1">
      <c r="C100" s="542" t="s">
        <v>467</v>
      </c>
      <c r="D100" s="543" t="s">
        <v>468</v>
      </c>
      <c r="E100" s="542" t="s">
        <v>361</v>
      </c>
      <c r="F100" s="543" t="s">
        <v>468</v>
      </c>
      <c r="G100" s="544" t="s">
        <v>93</v>
      </c>
      <c r="H100" s="545" t="s">
        <v>95</v>
      </c>
      <c r="I100" s="542" t="s">
        <v>15</v>
      </c>
      <c r="J100" s="546"/>
      <c r="K100" s="544" t="s">
        <v>82</v>
      </c>
      <c r="L100" s="547"/>
      <c r="M100" s="544" t="s">
        <v>95</v>
      </c>
      <c r="N100" s="547"/>
      <c r="O100" s="547"/>
    </row>
    <row r="101" spans="2:15">
      <c r="C101" s="548" t="str">
        <f>IF(D95= "","-",D95)</f>
        <v>-</v>
      </c>
      <c r="D101" s="506">
        <f>+D94</f>
        <v>0</v>
      </c>
      <c r="E101" s="549">
        <f>+I98/12*(12-D96)</f>
        <v>0</v>
      </c>
      <c r="F101" s="506">
        <f>+D101-E101</f>
        <v>0</v>
      </c>
      <c r="G101" s="732">
        <f>+$I$96*((D101+F101)/2)+E101</f>
        <v>0</v>
      </c>
      <c r="H101" s="733">
        <f>$I$97*((D101+F101)/2)+E101</f>
        <v>0</v>
      </c>
      <c r="I101" s="552">
        <f>+H101-G101</f>
        <v>0</v>
      </c>
      <c r="J101" s="552"/>
      <c r="K101" s="571"/>
      <c r="L101" s="553"/>
      <c r="M101" s="571"/>
      <c r="N101" s="553"/>
      <c r="O101" s="553"/>
    </row>
    <row r="102" spans="2:15">
      <c r="C102" s="548" t="str">
        <f>IF(D95="","-",+C101+1)</f>
        <v>-</v>
      </c>
      <c r="D102" s="506">
        <f t="shared" ref="D102:D160" si="0">F101</f>
        <v>0</v>
      </c>
      <c r="E102" s="549">
        <f>IF(D102&gt;$I$98,$I$98,D102)</f>
        <v>0</v>
      </c>
      <c r="F102" s="506">
        <f t="shared" ref="F102:F160" si="1">+D102-E102</f>
        <v>0</v>
      </c>
      <c r="G102" s="554">
        <f t="shared" ref="G102:G160" si="2">+$I$96*((D102+F102)/2)+E102</f>
        <v>0</v>
      </c>
      <c r="H102" s="555">
        <f t="shared" ref="H102:H160" si="3">$I$97*((D102+F102)/2)+E102</f>
        <v>0</v>
      </c>
      <c r="I102" s="552">
        <f t="shared" ref="I102:I160" si="4">+H102-G102</f>
        <v>0</v>
      </c>
      <c r="J102" s="552"/>
      <c r="K102" s="572"/>
      <c r="L102" s="556"/>
      <c r="M102" s="572"/>
      <c r="N102" s="556"/>
      <c r="O102" s="556"/>
    </row>
    <row r="103" spans="2:15">
      <c r="C103" s="548" t="str">
        <f>IF(D95="","-",+C102+1)</f>
        <v>-</v>
      </c>
      <c r="D103" s="506">
        <f t="shared" si="0"/>
        <v>0</v>
      </c>
      <c r="E103" s="549">
        <f t="shared" ref="E103:E160" si="5">IF(D103&gt;$I$98,$I$98,D103)</f>
        <v>0</v>
      </c>
      <c r="F103" s="506">
        <f t="shared" si="1"/>
        <v>0</v>
      </c>
      <c r="G103" s="554">
        <f t="shared" si="2"/>
        <v>0</v>
      </c>
      <c r="H103" s="555">
        <f t="shared" si="3"/>
        <v>0</v>
      </c>
      <c r="I103" s="552">
        <f t="shared" si="4"/>
        <v>0</v>
      </c>
      <c r="J103" s="552"/>
      <c r="K103" s="572"/>
      <c r="L103" s="556"/>
      <c r="M103" s="572"/>
      <c r="N103" s="556"/>
      <c r="O103" s="556"/>
    </row>
    <row r="104" spans="2:15">
      <c r="C104" s="548" t="str">
        <f>IF(D95="","-",+C103+1)</f>
        <v>-</v>
      </c>
      <c r="D104" s="506">
        <f t="shared" si="0"/>
        <v>0</v>
      </c>
      <c r="E104" s="549">
        <f t="shared" si="5"/>
        <v>0</v>
      </c>
      <c r="F104" s="506">
        <f t="shared" si="1"/>
        <v>0</v>
      </c>
      <c r="G104" s="554">
        <f t="shared" si="2"/>
        <v>0</v>
      </c>
      <c r="H104" s="555">
        <f t="shared" si="3"/>
        <v>0</v>
      </c>
      <c r="I104" s="552">
        <f t="shared" si="4"/>
        <v>0</v>
      </c>
      <c r="J104" s="552"/>
      <c r="K104" s="572"/>
      <c r="L104" s="556"/>
      <c r="M104" s="572"/>
      <c r="N104" s="556"/>
      <c r="O104" s="556"/>
    </row>
    <row r="105" spans="2:15">
      <c r="C105" s="548" t="str">
        <f>IF(D95="","-",+C104+1)</f>
        <v>-</v>
      </c>
      <c r="D105" s="506">
        <f t="shared" si="0"/>
        <v>0</v>
      </c>
      <c r="E105" s="549">
        <f t="shared" si="5"/>
        <v>0</v>
      </c>
      <c r="F105" s="506">
        <f t="shared" si="1"/>
        <v>0</v>
      </c>
      <c r="G105" s="554">
        <f t="shared" si="2"/>
        <v>0</v>
      </c>
      <c r="H105" s="555">
        <f t="shared" si="3"/>
        <v>0</v>
      </c>
      <c r="I105" s="552">
        <f t="shared" si="4"/>
        <v>0</v>
      </c>
      <c r="J105" s="552"/>
      <c r="K105" s="572"/>
      <c r="L105" s="556"/>
      <c r="M105" s="572"/>
      <c r="N105" s="556"/>
      <c r="O105" s="556"/>
    </row>
    <row r="106" spans="2:15">
      <c r="C106" s="548" t="str">
        <f>IF(D95="","-",+C105+1)</f>
        <v>-</v>
      </c>
      <c r="D106" s="506">
        <f t="shared" si="0"/>
        <v>0</v>
      </c>
      <c r="E106" s="549">
        <f t="shared" si="5"/>
        <v>0</v>
      </c>
      <c r="F106" s="506">
        <f t="shared" si="1"/>
        <v>0</v>
      </c>
      <c r="G106" s="554">
        <f t="shared" si="2"/>
        <v>0</v>
      </c>
      <c r="H106" s="555">
        <f t="shared" si="3"/>
        <v>0</v>
      </c>
      <c r="I106" s="552">
        <f t="shared" si="4"/>
        <v>0</v>
      </c>
      <c r="J106" s="552"/>
      <c r="K106" s="572"/>
      <c r="L106" s="556"/>
      <c r="M106" s="572"/>
      <c r="N106" s="556"/>
      <c r="O106" s="556"/>
    </row>
    <row r="107" spans="2:15">
      <c r="C107" s="548" t="str">
        <f>IF(D95="","-",+C106+1)</f>
        <v>-</v>
      </c>
      <c r="D107" s="506">
        <f t="shared" si="0"/>
        <v>0</v>
      </c>
      <c r="E107" s="549">
        <f t="shared" si="5"/>
        <v>0</v>
      </c>
      <c r="F107" s="506">
        <f t="shared" si="1"/>
        <v>0</v>
      </c>
      <c r="G107" s="554">
        <f t="shared" si="2"/>
        <v>0</v>
      </c>
      <c r="H107" s="555">
        <f t="shared" si="3"/>
        <v>0</v>
      </c>
      <c r="I107" s="552">
        <f t="shared" si="4"/>
        <v>0</v>
      </c>
      <c r="J107" s="552"/>
      <c r="K107" s="572"/>
      <c r="L107" s="556"/>
      <c r="M107" s="572"/>
      <c r="N107" s="556"/>
      <c r="O107" s="556"/>
    </row>
    <row r="108" spans="2:15">
      <c r="C108" s="548" t="str">
        <f>IF(D95="","-",+C107+1)</f>
        <v>-</v>
      </c>
      <c r="D108" s="506">
        <f t="shared" si="0"/>
        <v>0</v>
      </c>
      <c r="E108" s="549">
        <f t="shared" si="5"/>
        <v>0</v>
      </c>
      <c r="F108" s="506">
        <f t="shared" si="1"/>
        <v>0</v>
      </c>
      <c r="G108" s="554">
        <f t="shared" si="2"/>
        <v>0</v>
      </c>
      <c r="H108" s="555">
        <f t="shared" si="3"/>
        <v>0</v>
      </c>
      <c r="I108" s="552">
        <f t="shared" si="4"/>
        <v>0</v>
      </c>
      <c r="J108" s="552"/>
      <c r="K108" s="572"/>
      <c r="L108" s="556"/>
      <c r="M108" s="572"/>
      <c r="N108" s="556"/>
      <c r="O108" s="556"/>
    </row>
    <row r="109" spans="2:15">
      <c r="C109" s="548" t="str">
        <f>IF(D95="","-",+C108+1)</f>
        <v>-</v>
      </c>
      <c r="D109" s="506">
        <f t="shared" si="0"/>
        <v>0</v>
      </c>
      <c r="E109" s="549">
        <f t="shared" si="5"/>
        <v>0</v>
      </c>
      <c r="F109" s="506">
        <f t="shared" si="1"/>
        <v>0</v>
      </c>
      <c r="G109" s="554">
        <f t="shared" si="2"/>
        <v>0</v>
      </c>
      <c r="H109" s="555">
        <f t="shared" si="3"/>
        <v>0</v>
      </c>
      <c r="I109" s="552">
        <f t="shared" si="4"/>
        <v>0</v>
      </c>
      <c r="J109" s="552"/>
      <c r="K109" s="572"/>
      <c r="L109" s="556"/>
      <c r="M109" s="572"/>
      <c r="N109" s="556"/>
      <c r="O109" s="556"/>
    </row>
    <row r="110" spans="2:15">
      <c r="C110" s="548" t="str">
        <f>IF(D95="","-",+C109+1)</f>
        <v>-</v>
      </c>
      <c r="D110" s="506">
        <f t="shared" si="0"/>
        <v>0</v>
      </c>
      <c r="E110" s="549">
        <f t="shared" si="5"/>
        <v>0</v>
      </c>
      <c r="F110" s="506">
        <f t="shared" si="1"/>
        <v>0</v>
      </c>
      <c r="G110" s="554">
        <f t="shared" si="2"/>
        <v>0</v>
      </c>
      <c r="H110" s="555">
        <f t="shared" si="3"/>
        <v>0</v>
      </c>
      <c r="I110" s="552">
        <f t="shared" si="4"/>
        <v>0</v>
      </c>
      <c r="J110" s="552"/>
      <c r="K110" s="572"/>
      <c r="L110" s="556"/>
      <c r="M110" s="572"/>
      <c r="N110" s="556"/>
      <c r="O110" s="556"/>
    </row>
    <row r="111" spans="2:15">
      <c r="C111" s="548" t="str">
        <f>IF(D95="","-",+C110+1)</f>
        <v>-</v>
      </c>
      <c r="D111" s="506">
        <f t="shared" si="0"/>
        <v>0</v>
      </c>
      <c r="E111" s="549">
        <f t="shared" si="5"/>
        <v>0</v>
      </c>
      <c r="F111" s="506">
        <f t="shared" si="1"/>
        <v>0</v>
      </c>
      <c r="G111" s="554">
        <f t="shared" si="2"/>
        <v>0</v>
      </c>
      <c r="H111" s="555">
        <f t="shared" si="3"/>
        <v>0</v>
      </c>
      <c r="I111" s="552">
        <f t="shared" si="4"/>
        <v>0</v>
      </c>
      <c r="J111" s="552"/>
      <c r="K111" s="572"/>
      <c r="L111" s="556"/>
      <c r="M111" s="572"/>
      <c r="N111" s="556"/>
      <c r="O111" s="556"/>
    </row>
    <row r="112" spans="2:15">
      <c r="C112" s="548" t="str">
        <f>IF(D95="","-",+C111+1)</f>
        <v>-</v>
      </c>
      <c r="D112" s="506">
        <f t="shared" si="0"/>
        <v>0</v>
      </c>
      <c r="E112" s="549">
        <f t="shared" si="5"/>
        <v>0</v>
      </c>
      <c r="F112" s="506">
        <f t="shared" si="1"/>
        <v>0</v>
      </c>
      <c r="G112" s="554">
        <f t="shared" si="2"/>
        <v>0</v>
      </c>
      <c r="H112" s="555">
        <f t="shared" si="3"/>
        <v>0</v>
      </c>
      <c r="I112" s="552">
        <f t="shared" si="4"/>
        <v>0</v>
      </c>
      <c r="J112" s="552"/>
      <c r="K112" s="572"/>
      <c r="L112" s="556"/>
      <c r="M112" s="572"/>
      <c r="N112" s="556"/>
      <c r="O112" s="556"/>
    </row>
    <row r="113" spans="3:15">
      <c r="C113" s="548" t="str">
        <f>IF(D95="","-",+C112+1)</f>
        <v>-</v>
      </c>
      <c r="D113" s="506">
        <f t="shared" si="0"/>
        <v>0</v>
      </c>
      <c r="E113" s="549">
        <f t="shared" si="5"/>
        <v>0</v>
      </c>
      <c r="F113" s="506">
        <f t="shared" si="1"/>
        <v>0</v>
      </c>
      <c r="G113" s="554">
        <f t="shared" si="2"/>
        <v>0</v>
      </c>
      <c r="H113" s="555">
        <f t="shared" si="3"/>
        <v>0</v>
      </c>
      <c r="I113" s="552">
        <f t="shared" si="4"/>
        <v>0</v>
      </c>
      <c r="J113" s="552"/>
      <c r="K113" s="572"/>
      <c r="L113" s="556"/>
      <c r="M113" s="572"/>
      <c r="N113" s="557"/>
      <c r="O113" s="556"/>
    </row>
    <row r="114" spans="3:15">
      <c r="C114" s="548" t="str">
        <f>IF(D95="","-",+C113+1)</f>
        <v>-</v>
      </c>
      <c r="D114" s="506">
        <f t="shared" si="0"/>
        <v>0</v>
      </c>
      <c r="E114" s="549">
        <f t="shared" si="5"/>
        <v>0</v>
      </c>
      <c r="F114" s="506">
        <f t="shared" si="1"/>
        <v>0</v>
      </c>
      <c r="G114" s="554">
        <f t="shared" si="2"/>
        <v>0</v>
      </c>
      <c r="H114" s="555">
        <f t="shared" si="3"/>
        <v>0</v>
      </c>
      <c r="I114" s="552">
        <f t="shared" si="4"/>
        <v>0</v>
      </c>
      <c r="J114" s="552"/>
      <c r="K114" s="572"/>
      <c r="L114" s="556"/>
      <c r="M114" s="572"/>
      <c r="N114" s="556"/>
      <c r="O114" s="556"/>
    </row>
    <row r="115" spans="3:15">
      <c r="C115" s="548" t="str">
        <f>IF(D95="","-",+C114+1)</f>
        <v>-</v>
      </c>
      <c r="D115" s="506">
        <f t="shared" si="0"/>
        <v>0</v>
      </c>
      <c r="E115" s="549">
        <f t="shared" si="5"/>
        <v>0</v>
      </c>
      <c r="F115" s="506">
        <f t="shared" si="1"/>
        <v>0</v>
      </c>
      <c r="G115" s="554">
        <f t="shared" si="2"/>
        <v>0</v>
      </c>
      <c r="H115" s="555">
        <f t="shared" si="3"/>
        <v>0</v>
      </c>
      <c r="I115" s="552">
        <f t="shared" si="4"/>
        <v>0</v>
      </c>
      <c r="J115" s="552"/>
      <c r="K115" s="572"/>
      <c r="L115" s="556"/>
      <c r="M115" s="572"/>
      <c r="N115" s="556"/>
      <c r="O115" s="556"/>
    </row>
    <row r="116" spans="3:15">
      <c r="C116" s="548" t="str">
        <f>IF(D95="","-",+C115+1)</f>
        <v>-</v>
      </c>
      <c r="D116" s="506">
        <f t="shared" si="0"/>
        <v>0</v>
      </c>
      <c r="E116" s="549">
        <f t="shared" si="5"/>
        <v>0</v>
      </c>
      <c r="F116" s="506">
        <f t="shared" si="1"/>
        <v>0</v>
      </c>
      <c r="G116" s="554">
        <f t="shared" si="2"/>
        <v>0</v>
      </c>
      <c r="H116" s="555">
        <f t="shared" si="3"/>
        <v>0</v>
      </c>
      <c r="I116" s="552">
        <f t="shared" si="4"/>
        <v>0</v>
      </c>
      <c r="J116" s="552"/>
      <c r="K116" s="572"/>
      <c r="L116" s="556"/>
      <c r="M116" s="572"/>
      <c r="N116" s="556"/>
      <c r="O116" s="556"/>
    </row>
    <row r="117" spans="3:15">
      <c r="C117" s="548" t="str">
        <f>IF(D95="","-",+C116+1)</f>
        <v>-</v>
      </c>
      <c r="D117" s="506">
        <f t="shared" si="0"/>
        <v>0</v>
      </c>
      <c r="E117" s="549">
        <f t="shared" si="5"/>
        <v>0</v>
      </c>
      <c r="F117" s="506">
        <f t="shared" si="1"/>
        <v>0</v>
      </c>
      <c r="G117" s="554">
        <f t="shared" si="2"/>
        <v>0</v>
      </c>
      <c r="H117" s="555">
        <f t="shared" si="3"/>
        <v>0</v>
      </c>
      <c r="I117" s="552">
        <f t="shared" si="4"/>
        <v>0</v>
      </c>
      <c r="J117" s="552"/>
      <c r="K117" s="572"/>
      <c r="L117" s="556"/>
      <c r="M117" s="572"/>
      <c r="N117" s="556"/>
      <c r="O117" s="556"/>
    </row>
    <row r="118" spans="3:15">
      <c r="C118" s="548" t="str">
        <f>IF(D95="","-",+C117+1)</f>
        <v>-</v>
      </c>
      <c r="D118" s="506">
        <f t="shared" si="0"/>
        <v>0</v>
      </c>
      <c r="E118" s="549">
        <f t="shared" si="5"/>
        <v>0</v>
      </c>
      <c r="F118" s="506">
        <f t="shared" si="1"/>
        <v>0</v>
      </c>
      <c r="G118" s="554">
        <f t="shared" si="2"/>
        <v>0</v>
      </c>
      <c r="H118" s="555">
        <f t="shared" si="3"/>
        <v>0</v>
      </c>
      <c r="I118" s="552">
        <f t="shared" si="4"/>
        <v>0</v>
      </c>
      <c r="J118" s="552"/>
      <c r="K118" s="572"/>
      <c r="L118" s="556"/>
      <c r="M118" s="572"/>
      <c r="N118" s="556"/>
      <c r="O118" s="556"/>
    </row>
    <row r="119" spans="3:15">
      <c r="C119" s="548" t="str">
        <f>IF(D95="","-",+C118+1)</f>
        <v>-</v>
      </c>
      <c r="D119" s="506">
        <f t="shared" si="0"/>
        <v>0</v>
      </c>
      <c r="E119" s="549">
        <f t="shared" si="5"/>
        <v>0</v>
      </c>
      <c r="F119" s="506">
        <f t="shared" si="1"/>
        <v>0</v>
      </c>
      <c r="G119" s="554">
        <f t="shared" si="2"/>
        <v>0</v>
      </c>
      <c r="H119" s="555">
        <f t="shared" si="3"/>
        <v>0</v>
      </c>
      <c r="I119" s="552">
        <f t="shared" si="4"/>
        <v>0</v>
      </c>
      <c r="J119" s="552"/>
      <c r="K119" s="572"/>
      <c r="L119" s="556"/>
      <c r="M119" s="572"/>
      <c r="N119" s="556"/>
      <c r="O119" s="556"/>
    </row>
    <row r="120" spans="3:15">
      <c r="C120" s="548" t="str">
        <f>IF(D95="","-",+C119+1)</f>
        <v>-</v>
      </c>
      <c r="D120" s="506">
        <f t="shared" si="0"/>
        <v>0</v>
      </c>
      <c r="E120" s="549">
        <f t="shared" si="5"/>
        <v>0</v>
      </c>
      <c r="F120" s="506">
        <f t="shared" si="1"/>
        <v>0</v>
      </c>
      <c r="G120" s="554">
        <f t="shared" si="2"/>
        <v>0</v>
      </c>
      <c r="H120" s="555">
        <f t="shared" si="3"/>
        <v>0</v>
      </c>
      <c r="I120" s="552">
        <f t="shared" si="4"/>
        <v>0</v>
      </c>
      <c r="J120" s="552"/>
      <c r="K120" s="572"/>
      <c r="L120" s="556"/>
      <c r="M120" s="572"/>
      <c r="N120" s="556"/>
      <c r="O120" s="556"/>
    </row>
    <row r="121" spans="3:15">
      <c r="C121" s="548" t="str">
        <f>IF(D95="","-",+C120+1)</f>
        <v>-</v>
      </c>
      <c r="D121" s="506">
        <f t="shared" si="0"/>
        <v>0</v>
      </c>
      <c r="E121" s="549">
        <f t="shared" si="5"/>
        <v>0</v>
      </c>
      <c r="F121" s="506">
        <f t="shared" si="1"/>
        <v>0</v>
      </c>
      <c r="G121" s="554">
        <f t="shared" si="2"/>
        <v>0</v>
      </c>
      <c r="H121" s="555">
        <f t="shared" si="3"/>
        <v>0</v>
      </c>
      <c r="I121" s="552">
        <f t="shared" si="4"/>
        <v>0</v>
      </c>
      <c r="J121" s="552"/>
      <c r="K121" s="572"/>
      <c r="L121" s="556"/>
      <c r="M121" s="572"/>
      <c r="N121" s="556"/>
      <c r="O121" s="556"/>
    </row>
    <row r="122" spans="3:15">
      <c r="C122" s="548" t="str">
        <f>IF(D95="","-",+C121+1)</f>
        <v>-</v>
      </c>
      <c r="D122" s="506">
        <f t="shared" si="0"/>
        <v>0</v>
      </c>
      <c r="E122" s="549">
        <f t="shared" si="5"/>
        <v>0</v>
      </c>
      <c r="F122" s="506">
        <f t="shared" si="1"/>
        <v>0</v>
      </c>
      <c r="G122" s="554">
        <f t="shared" si="2"/>
        <v>0</v>
      </c>
      <c r="H122" s="555">
        <f t="shared" si="3"/>
        <v>0</v>
      </c>
      <c r="I122" s="552">
        <f t="shared" si="4"/>
        <v>0</v>
      </c>
      <c r="J122" s="552"/>
      <c r="K122" s="572"/>
      <c r="L122" s="556"/>
      <c r="M122" s="572"/>
      <c r="N122" s="556"/>
      <c r="O122" s="556"/>
    </row>
    <row r="123" spans="3:15">
      <c r="C123" s="548" t="str">
        <f>IF(D95="","-",+C122+1)</f>
        <v>-</v>
      </c>
      <c r="D123" s="506">
        <f t="shared" si="0"/>
        <v>0</v>
      </c>
      <c r="E123" s="549">
        <f t="shared" si="5"/>
        <v>0</v>
      </c>
      <c r="F123" s="506">
        <f t="shared" si="1"/>
        <v>0</v>
      </c>
      <c r="G123" s="554">
        <f t="shared" si="2"/>
        <v>0</v>
      </c>
      <c r="H123" s="555">
        <f t="shared" si="3"/>
        <v>0</v>
      </c>
      <c r="I123" s="552">
        <f t="shared" si="4"/>
        <v>0</v>
      </c>
      <c r="J123" s="552"/>
      <c r="K123" s="572"/>
      <c r="L123" s="556"/>
      <c r="M123" s="572"/>
      <c r="N123" s="556"/>
      <c r="O123" s="556"/>
    </row>
    <row r="124" spans="3:15">
      <c r="C124" s="548" t="str">
        <f>IF(D95="","-",+C123+1)</f>
        <v>-</v>
      </c>
      <c r="D124" s="506">
        <f t="shared" si="0"/>
        <v>0</v>
      </c>
      <c r="E124" s="549">
        <f t="shared" si="5"/>
        <v>0</v>
      </c>
      <c r="F124" s="506">
        <f t="shared" si="1"/>
        <v>0</v>
      </c>
      <c r="G124" s="554">
        <f t="shared" si="2"/>
        <v>0</v>
      </c>
      <c r="H124" s="555">
        <f t="shared" si="3"/>
        <v>0</v>
      </c>
      <c r="I124" s="552">
        <f t="shared" si="4"/>
        <v>0</v>
      </c>
      <c r="J124" s="552"/>
      <c r="K124" s="572"/>
      <c r="L124" s="556"/>
      <c r="M124" s="572"/>
      <c r="N124" s="556"/>
      <c r="O124" s="556"/>
    </row>
    <row r="125" spans="3:15">
      <c r="C125" s="548" t="str">
        <f>IF(D95="","-",+C124+1)</f>
        <v>-</v>
      </c>
      <c r="D125" s="506">
        <f t="shared" si="0"/>
        <v>0</v>
      </c>
      <c r="E125" s="549">
        <f t="shared" si="5"/>
        <v>0</v>
      </c>
      <c r="F125" s="506">
        <f t="shared" si="1"/>
        <v>0</v>
      </c>
      <c r="G125" s="554">
        <f t="shared" si="2"/>
        <v>0</v>
      </c>
      <c r="H125" s="555">
        <f t="shared" si="3"/>
        <v>0</v>
      </c>
      <c r="I125" s="552">
        <f t="shared" si="4"/>
        <v>0</v>
      </c>
      <c r="J125" s="552"/>
      <c r="K125" s="572"/>
      <c r="L125" s="556"/>
      <c r="M125" s="572"/>
      <c r="N125" s="556"/>
      <c r="O125" s="556"/>
    </row>
    <row r="126" spans="3:15">
      <c r="C126" s="548" t="str">
        <f>IF(D95="","-",+C125+1)</f>
        <v>-</v>
      </c>
      <c r="D126" s="506">
        <f t="shared" si="0"/>
        <v>0</v>
      </c>
      <c r="E126" s="549">
        <f t="shared" si="5"/>
        <v>0</v>
      </c>
      <c r="F126" s="506">
        <f t="shared" si="1"/>
        <v>0</v>
      </c>
      <c r="G126" s="554">
        <f t="shared" si="2"/>
        <v>0</v>
      </c>
      <c r="H126" s="555">
        <f t="shared" si="3"/>
        <v>0</v>
      </c>
      <c r="I126" s="552">
        <f t="shared" si="4"/>
        <v>0</v>
      </c>
      <c r="J126" s="552"/>
      <c r="K126" s="572"/>
      <c r="L126" s="556"/>
      <c r="M126" s="572"/>
      <c r="N126" s="556"/>
      <c r="O126" s="556"/>
    </row>
    <row r="127" spans="3:15">
      <c r="C127" s="548" t="str">
        <f>IF(D95="","-",+C126+1)</f>
        <v>-</v>
      </c>
      <c r="D127" s="506">
        <f t="shared" si="0"/>
        <v>0</v>
      </c>
      <c r="E127" s="549">
        <f t="shared" si="5"/>
        <v>0</v>
      </c>
      <c r="F127" s="506">
        <f t="shared" si="1"/>
        <v>0</v>
      </c>
      <c r="G127" s="554">
        <f t="shared" si="2"/>
        <v>0</v>
      </c>
      <c r="H127" s="555">
        <f t="shared" si="3"/>
        <v>0</v>
      </c>
      <c r="I127" s="552">
        <f t="shared" si="4"/>
        <v>0</v>
      </c>
      <c r="J127" s="552"/>
      <c r="K127" s="572"/>
      <c r="L127" s="556"/>
      <c r="M127" s="572"/>
      <c r="N127" s="556"/>
      <c r="O127" s="556"/>
    </row>
    <row r="128" spans="3:15">
      <c r="C128" s="548" t="str">
        <f>IF(D95="","-",+C127+1)</f>
        <v>-</v>
      </c>
      <c r="D128" s="506">
        <f t="shared" si="0"/>
        <v>0</v>
      </c>
      <c r="E128" s="549">
        <f t="shared" si="5"/>
        <v>0</v>
      </c>
      <c r="F128" s="506">
        <f t="shared" si="1"/>
        <v>0</v>
      </c>
      <c r="G128" s="554">
        <f t="shared" si="2"/>
        <v>0</v>
      </c>
      <c r="H128" s="555">
        <f t="shared" si="3"/>
        <v>0</v>
      </c>
      <c r="I128" s="552">
        <f t="shared" si="4"/>
        <v>0</v>
      </c>
      <c r="J128" s="552"/>
      <c r="K128" s="572"/>
      <c r="L128" s="556"/>
      <c r="M128" s="572"/>
      <c r="N128" s="556"/>
      <c r="O128" s="556"/>
    </row>
    <row r="129" spans="3:15">
      <c r="C129" s="548" t="str">
        <f>IF(D95="","-",+C128+1)</f>
        <v>-</v>
      </c>
      <c r="D129" s="506">
        <f t="shared" si="0"/>
        <v>0</v>
      </c>
      <c r="E129" s="549">
        <f t="shared" si="5"/>
        <v>0</v>
      </c>
      <c r="F129" s="506">
        <f t="shared" si="1"/>
        <v>0</v>
      </c>
      <c r="G129" s="550">
        <f t="shared" si="2"/>
        <v>0</v>
      </c>
      <c r="H129" s="555">
        <f t="shared" si="3"/>
        <v>0</v>
      </c>
      <c r="I129" s="552">
        <f t="shared" si="4"/>
        <v>0</v>
      </c>
      <c r="J129" s="552"/>
      <c r="K129" s="572"/>
      <c r="L129" s="556"/>
      <c r="M129" s="572"/>
      <c r="N129" s="556"/>
      <c r="O129" s="556"/>
    </row>
    <row r="130" spans="3:15">
      <c r="C130" s="548" t="str">
        <f>IF(D95="","-",+C129+1)</f>
        <v>-</v>
      </c>
      <c r="D130" s="506">
        <f t="shared" si="0"/>
        <v>0</v>
      </c>
      <c r="E130" s="549">
        <f t="shared" si="5"/>
        <v>0</v>
      </c>
      <c r="F130" s="506">
        <f t="shared" si="1"/>
        <v>0</v>
      </c>
      <c r="G130" s="554">
        <f t="shared" si="2"/>
        <v>0</v>
      </c>
      <c r="H130" s="555">
        <f t="shared" si="3"/>
        <v>0</v>
      </c>
      <c r="I130" s="552">
        <f t="shared" si="4"/>
        <v>0</v>
      </c>
      <c r="J130" s="552"/>
      <c r="K130" s="572"/>
      <c r="L130" s="556"/>
      <c r="M130" s="572"/>
      <c r="N130" s="556"/>
      <c r="O130" s="556"/>
    </row>
    <row r="131" spans="3:15">
      <c r="C131" s="548" t="str">
        <f>IF(D95="","-",+C130+1)</f>
        <v>-</v>
      </c>
      <c r="D131" s="506">
        <f t="shared" si="0"/>
        <v>0</v>
      </c>
      <c r="E131" s="549">
        <f t="shared" si="5"/>
        <v>0</v>
      </c>
      <c r="F131" s="506">
        <f t="shared" si="1"/>
        <v>0</v>
      </c>
      <c r="G131" s="554">
        <f t="shared" si="2"/>
        <v>0</v>
      </c>
      <c r="H131" s="555">
        <f t="shared" si="3"/>
        <v>0</v>
      </c>
      <c r="I131" s="552">
        <f t="shared" si="4"/>
        <v>0</v>
      </c>
      <c r="J131" s="552"/>
      <c r="K131" s="572"/>
      <c r="L131" s="556"/>
      <c r="M131" s="572"/>
      <c r="N131" s="556"/>
      <c r="O131" s="556"/>
    </row>
    <row r="132" spans="3:15">
      <c r="C132" s="548" t="str">
        <f>IF(D95="","-",+C131+1)</f>
        <v>-</v>
      </c>
      <c r="D132" s="506">
        <f t="shared" si="0"/>
        <v>0</v>
      </c>
      <c r="E132" s="549">
        <f t="shared" si="5"/>
        <v>0</v>
      </c>
      <c r="F132" s="506">
        <f t="shared" si="1"/>
        <v>0</v>
      </c>
      <c r="G132" s="554">
        <f t="shared" si="2"/>
        <v>0</v>
      </c>
      <c r="H132" s="555">
        <f t="shared" si="3"/>
        <v>0</v>
      </c>
      <c r="I132" s="552">
        <f t="shared" si="4"/>
        <v>0</v>
      </c>
      <c r="J132" s="552"/>
      <c r="K132" s="572"/>
      <c r="L132" s="556"/>
      <c r="M132" s="572"/>
      <c r="N132" s="556"/>
      <c r="O132" s="556"/>
    </row>
    <row r="133" spans="3:15">
      <c r="C133" s="548" t="str">
        <f>IF(D95="","-",+C132+1)</f>
        <v>-</v>
      </c>
      <c r="D133" s="506">
        <f t="shared" si="0"/>
        <v>0</v>
      </c>
      <c r="E133" s="549">
        <f t="shared" si="5"/>
        <v>0</v>
      </c>
      <c r="F133" s="506">
        <f t="shared" si="1"/>
        <v>0</v>
      </c>
      <c r="G133" s="554">
        <f t="shared" si="2"/>
        <v>0</v>
      </c>
      <c r="H133" s="555">
        <f t="shared" si="3"/>
        <v>0</v>
      </c>
      <c r="I133" s="552">
        <f t="shared" si="4"/>
        <v>0</v>
      </c>
      <c r="J133" s="552"/>
      <c r="K133" s="572"/>
      <c r="L133" s="556"/>
      <c r="M133" s="572"/>
      <c r="N133" s="556"/>
      <c r="O133" s="556"/>
    </row>
    <row r="134" spans="3:15">
      <c r="C134" s="548" t="str">
        <f>IF(D95="","-",+C133+1)</f>
        <v>-</v>
      </c>
      <c r="D134" s="506">
        <f t="shared" si="0"/>
        <v>0</v>
      </c>
      <c r="E134" s="549">
        <f t="shared" si="5"/>
        <v>0</v>
      </c>
      <c r="F134" s="506">
        <f t="shared" si="1"/>
        <v>0</v>
      </c>
      <c r="G134" s="554">
        <f t="shared" si="2"/>
        <v>0</v>
      </c>
      <c r="H134" s="555">
        <f t="shared" si="3"/>
        <v>0</v>
      </c>
      <c r="I134" s="552">
        <f t="shared" si="4"/>
        <v>0</v>
      </c>
      <c r="J134" s="552"/>
      <c r="K134" s="572"/>
      <c r="L134" s="556"/>
      <c r="M134" s="572"/>
      <c r="N134" s="556"/>
      <c r="O134" s="556"/>
    </row>
    <row r="135" spans="3:15">
      <c r="C135" s="548" t="str">
        <f>IF(D95="","-",+C134+1)</f>
        <v>-</v>
      </c>
      <c r="D135" s="506">
        <f t="shared" si="0"/>
        <v>0</v>
      </c>
      <c r="E135" s="549">
        <f t="shared" si="5"/>
        <v>0</v>
      </c>
      <c r="F135" s="506">
        <f t="shared" si="1"/>
        <v>0</v>
      </c>
      <c r="G135" s="554">
        <f t="shared" si="2"/>
        <v>0</v>
      </c>
      <c r="H135" s="555">
        <f t="shared" si="3"/>
        <v>0</v>
      </c>
      <c r="I135" s="552">
        <f t="shared" si="4"/>
        <v>0</v>
      </c>
      <c r="J135" s="552"/>
      <c r="K135" s="572"/>
      <c r="L135" s="556"/>
      <c r="M135" s="572"/>
      <c r="N135" s="556"/>
      <c r="O135" s="556"/>
    </row>
    <row r="136" spans="3:15">
      <c r="C136" s="548" t="str">
        <f>IF(D95="","-",+C135+1)</f>
        <v>-</v>
      </c>
      <c r="D136" s="506">
        <f t="shared" si="0"/>
        <v>0</v>
      </c>
      <c r="E136" s="549">
        <f t="shared" si="5"/>
        <v>0</v>
      </c>
      <c r="F136" s="506">
        <f t="shared" si="1"/>
        <v>0</v>
      </c>
      <c r="G136" s="554">
        <f t="shared" si="2"/>
        <v>0</v>
      </c>
      <c r="H136" s="555">
        <f t="shared" si="3"/>
        <v>0</v>
      </c>
      <c r="I136" s="552">
        <f t="shared" si="4"/>
        <v>0</v>
      </c>
      <c r="J136" s="552"/>
      <c r="K136" s="572"/>
      <c r="L136" s="556"/>
      <c r="M136" s="572"/>
      <c r="N136" s="556"/>
      <c r="O136" s="556"/>
    </row>
    <row r="137" spans="3:15">
      <c r="C137" s="548" t="str">
        <f>IF(D95="","-",+C136+1)</f>
        <v>-</v>
      </c>
      <c r="D137" s="506">
        <f t="shared" si="0"/>
        <v>0</v>
      </c>
      <c r="E137" s="549">
        <f t="shared" si="5"/>
        <v>0</v>
      </c>
      <c r="F137" s="506">
        <f t="shared" si="1"/>
        <v>0</v>
      </c>
      <c r="G137" s="554">
        <f t="shared" si="2"/>
        <v>0</v>
      </c>
      <c r="H137" s="555">
        <f t="shared" si="3"/>
        <v>0</v>
      </c>
      <c r="I137" s="552">
        <f t="shared" si="4"/>
        <v>0</v>
      </c>
      <c r="J137" s="552"/>
      <c r="K137" s="572"/>
      <c r="L137" s="556"/>
      <c r="M137" s="572"/>
      <c r="N137" s="556"/>
      <c r="O137" s="556"/>
    </row>
    <row r="138" spans="3:15">
      <c r="C138" s="548" t="str">
        <f>IF(D95="","-",+C137+1)</f>
        <v>-</v>
      </c>
      <c r="D138" s="506">
        <f t="shared" si="0"/>
        <v>0</v>
      </c>
      <c r="E138" s="549">
        <f t="shared" si="5"/>
        <v>0</v>
      </c>
      <c r="F138" s="506">
        <f t="shared" si="1"/>
        <v>0</v>
      </c>
      <c r="G138" s="554">
        <f t="shared" si="2"/>
        <v>0</v>
      </c>
      <c r="H138" s="555">
        <f t="shared" si="3"/>
        <v>0</v>
      </c>
      <c r="I138" s="552">
        <f t="shared" si="4"/>
        <v>0</v>
      </c>
      <c r="J138" s="552"/>
      <c r="K138" s="572"/>
      <c r="L138" s="556"/>
      <c r="M138" s="572"/>
      <c r="N138" s="556"/>
      <c r="O138" s="556"/>
    </row>
    <row r="139" spans="3:15">
      <c r="C139" s="548" t="str">
        <f>IF(D95="","-",+C138+1)</f>
        <v>-</v>
      </c>
      <c r="D139" s="506">
        <f t="shared" si="0"/>
        <v>0</v>
      </c>
      <c r="E139" s="549">
        <f t="shared" si="5"/>
        <v>0</v>
      </c>
      <c r="F139" s="506">
        <f t="shared" si="1"/>
        <v>0</v>
      </c>
      <c r="G139" s="554">
        <f t="shared" si="2"/>
        <v>0</v>
      </c>
      <c r="H139" s="555">
        <f t="shared" si="3"/>
        <v>0</v>
      </c>
      <c r="I139" s="552">
        <f t="shared" si="4"/>
        <v>0</v>
      </c>
      <c r="J139" s="552"/>
      <c r="K139" s="572"/>
      <c r="L139" s="556"/>
      <c r="M139" s="572"/>
      <c r="N139" s="556"/>
      <c r="O139" s="556"/>
    </row>
    <row r="140" spans="3:15">
      <c r="C140" s="548" t="str">
        <f>IF(D95="","-",+C139+1)</f>
        <v>-</v>
      </c>
      <c r="D140" s="506">
        <f t="shared" si="0"/>
        <v>0</v>
      </c>
      <c r="E140" s="549">
        <f t="shared" si="5"/>
        <v>0</v>
      </c>
      <c r="F140" s="506">
        <f t="shared" si="1"/>
        <v>0</v>
      </c>
      <c r="G140" s="554">
        <f t="shared" si="2"/>
        <v>0</v>
      </c>
      <c r="H140" s="555">
        <f t="shared" si="3"/>
        <v>0</v>
      </c>
      <c r="I140" s="552">
        <f t="shared" si="4"/>
        <v>0</v>
      </c>
      <c r="J140" s="552"/>
      <c r="K140" s="572"/>
      <c r="L140" s="556"/>
      <c r="M140" s="572"/>
      <c r="N140" s="556"/>
      <c r="O140" s="556"/>
    </row>
    <row r="141" spans="3:15">
      <c r="C141" s="548" t="str">
        <f>IF(D95="","-",+C140+1)</f>
        <v>-</v>
      </c>
      <c r="D141" s="506">
        <f t="shared" si="0"/>
        <v>0</v>
      </c>
      <c r="E141" s="549">
        <f t="shared" si="5"/>
        <v>0</v>
      </c>
      <c r="F141" s="506">
        <f t="shared" si="1"/>
        <v>0</v>
      </c>
      <c r="G141" s="554">
        <f t="shared" si="2"/>
        <v>0</v>
      </c>
      <c r="H141" s="555">
        <f t="shared" si="3"/>
        <v>0</v>
      </c>
      <c r="I141" s="552">
        <f t="shared" si="4"/>
        <v>0</v>
      </c>
      <c r="J141" s="552"/>
      <c r="K141" s="572"/>
      <c r="L141" s="556"/>
      <c r="M141" s="572"/>
      <c r="N141" s="556"/>
      <c r="O141" s="556"/>
    </row>
    <row r="142" spans="3:15">
      <c r="C142" s="548" t="str">
        <f>IF(D95="","-",+C141+1)</f>
        <v>-</v>
      </c>
      <c r="D142" s="506">
        <f t="shared" si="0"/>
        <v>0</v>
      </c>
      <c r="E142" s="549">
        <f t="shared" si="5"/>
        <v>0</v>
      </c>
      <c r="F142" s="506">
        <f t="shared" si="1"/>
        <v>0</v>
      </c>
      <c r="G142" s="554">
        <f t="shared" si="2"/>
        <v>0</v>
      </c>
      <c r="H142" s="555">
        <f t="shared" si="3"/>
        <v>0</v>
      </c>
      <c r="I142" s="552">
        <f t="shared" si="4"/>
        <v>0</v>
      </c>
      <c r="J142" s="552"/>
      <c r="K142" s="572"/>
      <c r="L142" s="556"/>
      <c r="M142" s="572"/>
      <c r="N142" s="556"/>
      <c r="O142" s="556"/>
    </row>
    <row r="143" spans="3:15">
      <c r="C143" s="548" t="str">
        <f>IF(D95="","-",+C142+1)</f>
        <v>-</v>
      </c>
      <c r="D143" s="506">
        <f t="shared" si="0"/>
        <v>0</v>
      </c>
      <c r="E143" s="549">
        <f t="shared" si="5"/>
        <v>0</v>
      </c>
      <c r="F143" s="506">
        <f t="shared" si="1"/>
        <v>0</v>
      </c>
      <c r="G143" s="554">
        <f t="shared" si="2"/>
        <v>0</v>
      </c>
      <c r="H143" s="555">
        <f t="shared" si="3"/>
        <v>0</v>
      </c>
      <c r="I143" s="552">
        <f t="shared" si="4"/>
        <v>0</v>
      </c>
      <c r="J143" s="552"/>
      <c r="K143" s="572"/>
      <c r="L143" s="556"/>
      <c r="M143" s="572"/>
      <c r="N143" s="556"/>
      <c r="O143" s="556"/>
    </row>
    <row r="144" spans="3:15">
      <c r="C144" s="548" t="str">
        <f>IF(D95="","-",+C143+1)</f>
        <v>-</v>
      </c>
      <c r="D144" s="506">
        <f t="shared" si="0"/>
        <v>0</v>
      </c>
      <c r="E144" s="549">
        <f t="shared" si="5"/>
        <v>0</v>
      </c>
      <c r="F144" s="506">
        <f t="shared" si="1"/>
        <v>0</v>
      </c>
      <c r="G144" s="554">
        <f t="shared" si="2"/>
        <v>0</v>
      </c>
      <c r="H144" s="555">
        <f t="shared" si="3"/>
        <v>0</v>
      </c>
      <c r="I144" s="552">
        <f t="shared" si="4"/>
        <v>0</v>
      </c>
      <c r="J144" s="552"/>
      <c r="K144" s="572"/>
      <c r="L144" s="556"/>
      <c r="M144" s="572"/>
      <c r="N144" s="556"/>
      <c r="O144" s="556"/>
    </row>
    <row r="145" spans="3:15">
      <c r="C145" s="548" t="str">
        <f>IF(D95="","-",+C144+1)</f>
        <v>-</v>
      </c>
      <c r="D145" s="506">
        <f t="shared" si="0"/>
        <v>0</v>
      </c>
      <c r="E145" s="549">
        <f t="shared" si="5"/>
        <v>0</v>
      </c>
      <c r="F145" s="506">
        <f t="shared" si="1"/>
        <v>0</v>
      </c>
      <c r="G145" s="554">
        <f t="shared" si="2"/>
        <v>0</v>
      </c>
      <c r="H145" s="555">
        <f t="shared" si="3"/>
        <v>0</v>
      </c>
      <c r="I145" s="552">
        <f t="shared" si="4"/>
        <v>0</v>
      </c>
      <c r="J145" s="552"/>
      <c r="K145" s="572"/>
      <c r="L145" s="556"/>
      <c r="M145" s="572"/>
      <c r="N145" s="556"/>
      <c r="O145" s="556"/>
    </row>
    <row r="146" spans="3:15">
      <c r="C146" s="548" t="str">
        <f>IF(D95="","-",+C145+1)</f>
        <v>-</v>
      </c>
      <c r="D146" s="506">
        <f t="shared" si="0"/>
        <v>0</v>
      </c>
      <c r="E146" s="549">
        <f t="shared" si="5"/>
        <v>0</v>
      </c>
      <c r="F146" s="506">
        <f t="shared" si="1"/>
        <v>0</v>
      </c>
      <c r="G146" s="554">
        <f t="shared" si="2"/>
        <v>0</v>
      </c>
      <c r="H146" s="555">
        <f t="shared" si="3"/>
        <v>0</v>
      </c>
      <c r="I146" s="552">
        <f t="shared" si="4"/>
        <v>0</v>
      </c>
      <c r="J146" s="552"/>
      <c r="K146" s="572"/>
      <c r="L146" s="556"/>
      <c r="M146" s="572"/>
      <c r="N146" s="556"/>
      <c r="O146" s="556"/>
    </row>
    <row r="147" spans="3:15">
      <c r="C147" s="548" t="str">
        <f>IF(D95="","-",+C146+1)</f>
        <v>-</v>
      </c>
      <c r="D147" s="506">
        <f t="shared" si="0"/>
        <v>0</v>
      </c>
      <c r="E147" s="549">
        <f t="shared" si="5"/>
        <v>0</v>
      </c>
      <c r="F147" s="506">
        <f t="shared" si="1"/>
        <v>0</v>
      </c>
      <c r="G147" s="554">
        <f t="shared" si="2"/>
        <v>0</v>
      </c>
      <c r="H147" s="555">
        <f t="shared" si="3"/>
        <v>0</v>
      </c>
      <c r="I147" s="552">
        <f t="shared" si="4"/>
        <v>0</v>
      </c>
      <c r="J147" s="552"/>
      <c r="K147" s="572"/>
      <c r="L147" s="556"/>
      <c r="M147" s="572"/>
      <c r="N147" s="556"/>
      <c r="O147" s="556"/>
    </row>
    <row r="148" spans="3:15">
      <c r="C148" s="548" t="str">
        <f>IF(D95="","-",+C147+1)</f>
        <v>-</v>
      </c>
      <c r="D148" s="506">
        <f t="shared" si="0"/>
        <v>0</v>
      </c>
      <c r="E148" s="549">
        <f t="shared" si="5"/>
        <v>0</v>
      </c>
      <c r="F148" s="506">
        <f t="shared" si="1"/>
        <v>0</v>
      </c>
      <c r="G148" s="554">
        <f t="shared" si="2"/>
        <v>0</v>
      </c>
      <c r="H148" s="555">
        <f t="shared" si="3"/>
        <v>0</v>
      </c>
      <c r="I148" s="552">
        <f t="shared" si="4"/>
        <v>0</v>
      </c>
      <c r="J148" s="552"/>
      <c r="K148" s="572"/>
      <c r="L148" s="556"/>
      <c r="M148" s="572"/>
      <c r="N148" s="556"/>
      <c r="O148" s="556"/>
    </row>
    <row r="149" spans="3:15">
      <c r="C149" s="548" t="str">
        <f>IF(D95="","-",+C148+1)</f>
        <v>-</v>
      </c>
      <c r="D149" s="506">
        <f t="shared" si="0"/>
        <v>0</v>
      </c>
      <c r="E149" s="549">
        <f t="shared" si="5"/>
        <v>0</v>
      </c>
      <c r="F149" s="506">
        <f t="shared" si="1"/>
        <v>0</v>
      </c>
      <c r="G149" s="554">
        <f t="shared" si="2"/>
        <v>0</v>
      </c>
      <c r="H149" s="555">
        <f t="shared" si="3"/>
        <v>0</v>
      </c>
      <c r="I149" s="552">
        <f t="shared" si="4"/>
        <v>0</v>
      </c>
      <c r="J149" s="552"/>
      <c r="K149" s="572"/>
      <c r="L149" s="556"/>
      <c r="M149" s="572"/>
      <c r="N149" s="556"/>
      <c r="O149" s="556"/>
    </row>
    <row r="150" spans="3:15">
      <c r="C150" s="548" t="str">
        <f>IF(D95="","-",+C149+1)</f>
        <v>-</v>
      </c>
      <c r="D150" s="506">
        <f t="shared" si="0"/>
        <v>0</v>
      </c>
      <c r="E150" s="549">
        <f t="shared" si="5"/>
        <v>0</v>
      </c>
      <c r="F150" s="506">
        <f t="shared" si="1"/>
        <v>0</v>
      </c>
      <c r="G150" s="554">
        <f t="shared" si="2"/>
        <v>0</v>
      </c>
      <c r="H150" s="555">
        <f t="shared" si="3"/>
        <v>0</v>
      </c>
      <c r="I150" s="552">
        <f t="shared" si="4"/>
        <v>0</v>
      </c>
      <c r="J150" s="552"/>
      <c r="K150" s="572"/>
      <c r="L150" s="556"/>
      <c r="M150" s="572"/>
      <c r="N150" s="556"/>
      <c r="O150" s="556"/>
    </row>
    <row r="151" spans="3:15">
      <c r="C151" s="548" t="str">
        <f>IF(D95="","-",+C150+1)</f>
        <v>-</v>
      </c>
      <c r="D151" s="506">
        <f t="shared" si="0"/>
        <v>0</v>
      </c>
      <c r="E151" s="549">
        <f t="shared" si="5"/>
        <v>0</v>
      </c>
      <c r="F151" s="506">
        <f t="shared" si="1"/>
        <v>0</v>
      </c>
      <c r="G151" s="554">
        <f t="shared" si="2"/>
        <v>0</v>
      </c>
      <c r="H151" s="555">
        <f t="shared" si="3"/>
        <v>0</v>
      </c>
      <c r="I151" s="552">
        <f t="shared" si="4"/>
        <v>0</v>
      </c>
      <c r="J151" s="552"/>
      <c r="K151" s="572"/>
      <c r="L151" s="556"/>
      <c r="M151" s="572"/>
      <c r="N151" s="556"/>
      <c r="O151" s="556"/>
    </row>
    <row r="152" spans="3:15">
      <c r="C152" s="548" t="str">
        <f>IF(D95="","-",+C151+1)</f>
        <v>-</v>
      </c>
      <c r="D152" s="506">
        <f t="shared" si="0"/>
        <v>0</v>
      </c>
      <c r="E152" s="549">
        <f t="shared" si="5"/>
        <v>0</v>
      </c>
      <c r="F152" s="506">
        <f t="shared" si="1"/>
        <v>0</v>
      </c>
      <c r="G152" s="554">
        <f t="shared" si="2"/>
        <v>0</v>
      </c>
      <c r="H152" s="555">
        <f t="shared" si="3"/>
        <v>0</v>
      </c>
      <c r="I152" s="552">
        <f t="shared" si="4"/>
        <v>0</v>
      </c>
      <c r="J152" s="552"/>
      <c r="K152" s="572"/>
      <c r="L152" s="556"/>
      <c r="M152" s="572"/>
      <c r="N152" s="556"/>
      <c r="O152" s="556"/>
    </row>
    <row r="153" spans="3:15">
      <c r="C153" s="548" t="str">
        <f>IF(D95="","-",+C152+1)</f>
        <v>-</v>
      </c>
      <c r="D153" s="506">
        <f t="shared" si="0"/>
        <v>0</v>
      </c>
      <c r="E153" s="549">
        <f t="shared" si="5"/>
        <v>0</v>
      </c>
      <c r="F153" s="506">
        <f t="shared" si="1"/>
        <v>0</v>
      </c>
      <c r="G153" s="554">
        <f t="shared" si="2"/>
        <v>0</v>
      </c>
      <c r="H153" s="555">
        <f t="shared" si="3"/>
        <v>0</v>
      </c>
      <c r="I153" s="552">
        <f t="shared" si="4"/>
        <v>0</v>
      </c>
      <c r="J153" s="552"/>
      <c r="K153" s="572"/>
      <c r="L153" s="556"/>
      <c r="M153" s="572"/>
      <c r="N153" s="556"/>
      <c r="O153" s="556"/>
    </row>
    <row r="154" spans="3:15">
      <c r="C154" s="548" t="str">
        <f>IF(D95="","-",+C153+1)</f>
        <v>-</v>
      </c>
      <c r="D154" s="506">
        <f t="shared" si="0"/>
        <v>0</v>
      </c>
      <c r="E154" s="549">
        <f t="shared" si="5"/>
        <v>0</v>
      </c>
      <c r="F154" s="506">
        <f t="shared" si="1"/>
        <v>0</v>
      </c>
      <c r="G154" s="554">
        <f t="shared" si="2"/>
        <v>0</v>
      </c>
      <c r="H154" s="555">
        <f t="shared" si="3"/>
        <v>0</v>
      </c>
      <c r="I154" s="552">
        <f t="shared" si="4"/>
        <v>0</v>
      </c>
      <c r="J154" s="552"/>
      <c r="K154" s="572"/>
      <c r="L154" s="556"/>
      <c r="M154" s="572"/>
      <c r="N154" s="556"/>
      <c r="O154" s="556"/>
    </row>
    <row r="155" spans="3:15">
      <c r="C155" s="548" t="str">
        <f>IF(D95="","-",+C154+1)</f>
        <v>-</v>
      </c>
      <c r="D155" s="506">
        <f t="shared" si="0"/>
        <v>0</v>
      </c>
      <c r="E155" s="549">
        <f t="shared" si="5"/>
        <v>0</v>
      </c>
      <c r="F155" s="506">
        <f t="shared" si="1"/>
        <v>0</v>
      </c>
      <c r="G155" s="554">
        <f t="shared" si="2"/>
        <v>0</v>
      </c>
      <c r="H155" s="555">
        <f t="shared" si="3"/>
        <v>0</v>
      </c>
      <c r="I155" s="552">
        <f t="shared" si="4"/>
        <v>0</v>
      </c>
      <c r="J155" s="552"/>
      <c r="K155" s="572"/>
      <c r="L155" s="556"/>
      <c r="M155" s="572"/>
      <c r="N155" s="556"/>
      <c r="O155" s="556"/>
    </row>
    <row r="156" spans="3:15">
      <c r="C156" s="548" t="str">
        <f>IF(D95="","-",+C155+1)</f>
        <v>-</v>
      </c>
      <c r="D156" s="506">
        <f t="shared" si="0"/>
        <v>0</v>
      </c>
      <c r="E156" s="549">
        <f t="shared" si="5"/>
        <v>0</v>
      </c>
      <c r="F156" s="506">
        <f t="shared" si="1"/>
        <v>0</v>
      </c>
      <c r="G156" s="554">
        <f t="shared" si="2"/>
        <v>0</v>
      </c>
      <c r="H156" s="555">
        <f t="shared" si="3"/>
        <v>0</v>
      </c>
      <c r="I156" s="552">
        <f t="shared" si="4"/>
        <v>0</v>
      </c>
      <c r="J156" s="552"/>
      <c r="K156" s="572"/>
      <c r="L156" s="556"/>
      <c r="M156" s="572"/>
      <c r="N156" s="556"/>
      <c r="O156" s="556"/>
    </row>
    <row r="157" spans="3:15">
      <c r="C157" s="548" t="str">
        <f>IF(D95="","-",+C156+1)</f>
        <v>-</v>
      </c>
      <c r="D157" s="506">
        <f t="shared" si="0"/>
        <v>0</v>
      </c>
      <c r="E157" s="549">
        <f t="shared" si="5"/>
        <v>0</v>
      </c>
      <c r="F157" s="506">
        <f t="shared" si="1"/>
        <v>0</v>
      </c>
      <c r="G157" s="554">
        <f t="shared" si="2"/>
        <v>0</v>
      </c>
      <c r="H157" s="555">
        <f t="shared" si="3"/>
        <v>0</v>
      </c>
      <c r="I157" s="552">
        <f t="shared" si="4"/>
        <v>0</v>
      </c>
      <c r="J157" s="552"/>
      <c r="K157" s="572"/>
      <c r="L157" s="556"/>
      <c r="M157" s="572"/>
      <c r="N157" s="556"/>
      <c r="O157" s="556"/>
    </row>
    <row r="158" spans="3:15">
      <c r="C158" s="548" t="str">
        <f>IF(D95="","-",+C157+1)</f>
        <v>-</v>
      </c>
      <c r="D158" s="506">
        <f t="shared" si="0"/>
        <v>0</v>
      </c>
      <c r="E158" s="549">
        <f t="shared" si="5"/>
        <v>0</v>
      </c>
      <c r="F158" s="506">
        <f t="shared" si="1"/>
        <v>0</v>
      </c>
      <c r="G158" s="554">
        <f t="shared" si="2"/>
        <v>0</v>
      </c>
      <c r="H158" s="555">
        <f t="shared" si="3"/>
        <v>0</v>
      </c>
      <c r="I158" s="552">
        <f t="shared" si="4"/>
        <v>0</v>
      </c>
      <c r="J158" s="552"/>
      <c r="K158" s="572"/>
      <c r="L158" s="556"/>
      <c r="M158" s="572"/>
      <c r="N158" s="556"/>
      <c r="O158" s="556"/>
    </row>
    <row r="159" spans="3:15">
      <c r="C159" s="548" t="str">
        <f>IF(D95="","-",+C158+1)</f>
        <v>-</v>
      </c>
      <c r="D159" s="506">
        <f t="shared" si="0"/>
        <v>0</v>
      </c>
      <c r="E159" s="549">
        <f t="shared" si="5"/>
        <v>0</v>
      </c>
      <c r="F159" s="506">
        <f t="shared" si="1"/>
        <v>0</v>
      </c>
      <c r="G159" s="554">
        <f t="shared" si="2"/>
        <v>0</v>
      </c>
      <c r="H159" s="555">
        <f t="shared" si="3"/>
        <v>0</v>
      </c>
      <c r="I159" s="552">
        <f t="shared" si="4"/>
        <v>0</v>
      </c>
      <c r="J159" s="552"/>
      <c r="K159" s="572"/>
      <c r="L159" s="556"/>
      <c r="M159" s="572"/>
      <c r="N159" s="556"/>
      <c r="O159" s="556"/>
    </row>
    <row r="160" spans="3:15" ht="13.5" thickBot="1">
      <c r="C160" s="558" t="str">
        <f>IF(D95="","-",+C159+1)</f>
        <v>-</v>
      </c>
      <c r="D160" s="559">
        <f t="shared" si="0"/>
        <v>0</v>
      </c>
      <c r="E160" s="560">
        <f t="shared" si="5"/>
        <v>0</v>
      </c>
      <c r="F160" s="559">
        <f t="shared" si="1"/>
        <v>0</v>
      </c>
      <c r="G160" s="561">
        <f t="shared" si="2"/>
        <v>0</v>
      </c>
      <c r="H160" s="561">
        <f t="shared" si="3"/>
        <v>0</v>
      </c>
      <c r="I160" s="562">
        <f t="shared" si="4"/>
        <v>0</v>
      </c>
      <c r="J160" s="552"/>
      <c r="K160" s="573"/>
      <c r="L160" s="563"/>
      <c r="M160" s="573"/>
      <c r="N160" s="563"/>
      <c r="O160" s="563"/>
    </row>
    <row r="161" spans="3:15">
      <c r="C161" s="506" t="s">
        <v>83</v>
      </c>
      <c r="D161" s="503"/>
      <c r="E161" s="503">
        <f>SUM(E101:E160)</f>
        <v>0</v>
      </c>
      <c r="F161" s="503"/>
      <c r="G161" s="503">
        <f>SUM(G101:G160)</f>
        <v>0</v>
      </c>
      <c r="H161" s="503">
        <f>SUM(H101:H160)</f>
        <v>0</v>
      </c>
      <c r="I161" s="503">
        <f>SUM(I101:I160)</f>
        <v>0</v>
      </c>
      <c r="J161" s="503"/>
      <c r="K161" s="503"/>
      <c r="L161" s="503"/>
      <c r="M161" s="503"/>
      <c r="N161" s="503"/>
      <c r="O161" s="3"/>
    </row>
    <row r="162" spans="3:15">
      <c r="D162" s="47"/>
      <c r="E162" s="3"/>
      <c r="F162" s="3"/>
      <c r="G162" s="3"/>
      <c r="H162" s="490"/>
      <c r="I162" s="490"/>
      <c r="J162" s="503"/>
      <c r="K162" s="490"/>
      <c r="L162" s="490"/>
      <c r="M162" s="490"/>
      <c r="N162" s="490"/>
      <c r="O162" s="3"/>
    </row>
    <row r="163" spans="3:15">
      <c r="C163" s="3" t="s">
        <v>13</v>
      </c>
      <c r="D163" s="47"/>
      <c r="E163" s="3"/>
      <c r="F163" s="3"/>
      <c r="G163" s="3"/>
      <c r="H163" s="490"/>
      <c r="I163" s="490"/>
      <c r="J163" s="503"/>
      <c r="K163" s="490"/>
      <c r="L163" s="490"/>
      <c r="M163" s="490"/>
      <c r="N163" s="490"/>
      <c r="O163" s="3"/>
    </row>
    <row r="164" spans="3:15">
      <c r="C164" s="3"/>
      <c r="D164" s="47"/>
      <c r="E164" s="3"/>
      <c r="F164" s="3"/>
      <c r="G164" s="3"/>
      <c r="H164" s="490"/>
      <c r="I164" s="490"/>
      <c r="J164" s="503"/>
      <c r="K164" s="490"/>
      <c r="L164" s="490"/>
      <c r="M164" s="490"/>
      <c r="N164" s="490"/>
      <c r="O164" s="3"/>
    </row>
    <row r="165" spans="3:15">
      <c r="C165" s="518" t="s">
        <v>14</v>
      </c>
      <c r="D165" s="506"/>
      <c r="E165" s="506"/>
      <c r="F165" s="506"/>
      <c r="G165" s="503"/>
      <c r="H165" s="503"/>
      <c r="I165" s="564"/>
      <c r="J165" s="564"/>
      <c r="K165" s="564"/>
      <c r="L165" s="564"/>
      <c r="M165" s="564"/>
      <c r="N165" s="564"/>
      <c r="O165" s="3"/>
    </row>
    <row r="166" spans="3:15">
      <c r="C166" s="507" t="s">
        <v>263</v>
      </c>
      <c r="D166" s="506"/>
      <c r="E166" s="506"/>
      <c r="F166" s="506"/>
      <c r="G166" s="503"/>
      <c r="H166" s="503"/>
      <c r="I166" s="564"/>
      <c r="J166" s="564"/>
      <c r="K166" s="564"/>
      <c r="L166" s="564"/>
      <c r="M166" s="564"/>
      <c r="N166" s="564"/>
      <c r="O166" s="3"/>
    </row>
    <row r="167" spans="3:15">
      <c r="C167" s="507" t="s">
        <v>84</v>
      </c>
      <c r="D167" s="506"/>
      <c r="E167" s="506"/>
      <c r="F167" s="506"/>
      <c r="G167" s="503"/>
      <c r="H167" s="503"/>
      <c r="I167" s="564"/>
      <c r="J167" s="564"/>
      <c r="K167" s="564"/>
      <c r="L167" s="564"/>
      <c r="M167" s="564"/>
      <c r="N167" s="564"/>
      <c r="O167" s="3"/>
    </row>
    <row r="168" spans="3:15">
      <c r="C168" s="507"/>
      <c r="D168" s="506"/>
      <c r="E168" s="506"/>
      <c r="F168" s="506"/>
      <c r="G168" s="503"/>
      <c r="H168" s="503"/>
      <c r="I168" s="564"/>
      <c r="J168" s="564"/>
      <c r="K168" s="564"/>
      <c r="L168" s="564"/>
      <c r="M168" s="564"/>
      <c r="N168" s="564"/>
      <c r="O168" s="3"/>
    </row>
    <row r="169" spans="3:15">
      <c r="C169" s="1186" t="s">
        <v>6</v>
      </c>
      <c r="D169" s="1186"/>
      <c r="E169" s="1186"/>
      <c r="F169" s="1186"/>
      <c r="G169" s="1186"/>
      <c r="H169" s="1186"/>
      <c r="I169" s="1186"/>
      <c r="J169" s="1186"/>
      <c r="K169" s="1186"/>
      <c r="L169" s="1186"/>
      <c r="M169" s="1186"/>
      <c r="N169" s="1186"/>
      <c r="O169" s="1186"/>
    </row>
    <row r="170" spans="3:15">
      <c r="C170" s="1186"/>
      <c r="D170" s="1186"/>
      <c r="E170" s="1186"/>
      <c r="F170" s="1186"/>
      <c r="G170" s="1186"/>
      <c r="H170" s="1186"/>
      <c r="I170" s="1186"/>
      <c r="J170" s="1186"/>
      <c r="K170" s="1186"/>
      <c r="L170" s="1186"/>
      <c r="M170" s="1186"/>
      <c r="N170" s="1186"/>
      <c r="O170" s="1186"/>
    </row>
  </sheetData>
  <mergeCells count="1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5" priority="1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 manualBreakCount="1">
    <brk id="8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Q166"/>
  <sheetViews>
    <sheetView view="pageBreakPreview" zoomScale="70" zoomScaleNormal="70" zoomScaleSheetLayoutView="70" workbookViewId="0">
      <selection activeCell="D24" sqref="D24"/>
    </sheetView>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1"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39" t="s">
        <v>632</v>
      </c>
    </row>
    <row r="2" spans="1:17" ht="15.75">
      <c r="A2" s="739" t="s">
        <v>633</v>
      </c>
    </row>
    <row r="3" spans="1:17"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140" t="str">
        <f>TCOS!$F$5</f>
        <v>AEPTCo subsidiaries in PJM</v>
      </c>
      <c r="K3" s="1140" t="str">
        <f>TCOS!$F$5</f>
        <v>AEPTCo subsidiaries in PJM</v>
      </c>
      <c r="L3" s="1140" t="str">
        <f>TCOS!$F$5</f>
        <v>AEPTCo subsidiaries in PJM</v>
      </c>
      <c r="M3" s="1140" t="str">
        <f>TCOS!$F$5</f>
        <v>AEPTCo subsidiaries in PJM</v>
      </c>
      <c r="N3" s="1140" t="str">
        <f>TCOS!$F$5</f>
        <v>AEPTCo subsidiaries in PJM</v>
      </c>
      <c r="O3" s="1140" t="str">
        <f>TCOS!$F$5</f>
        <v>AEPTCo subsidiaries in PJM</v>
      </c>
      <c r="P3" s="1140" t="str">
        <f>TCOS!$F$5</f>
        <v>AEPTCo subsidiaries in PJM</v>
      </c>
    </row>
    <row r="4" spans="1:17" ht="15">
      <c r="A4" s="1141" t="str">
        <f>"Cost of Service Formula Rate Using Actual/Projected FF1 Balances"</f>
        <v>Cost of Service Formula Rate Using Actual/Projected FF1 Balances</v>
      </c>
      <c r="B4" s="1141"/>
      <c r="C4" s="1141"/>
      <c r="D4" s="1141"/>
      <c r="E4" s="1141"/>
      <c r="F4" s="1141"/>
      <c r="G4" s="1141"/>
      <c r="H4" s="1141"/>
      <c r="I4" s="1141"/>
      <c r="J4" s="1141"/>
      <c r="K4" s="1141"/>
      <c r="L4" s="1141"/>
      <c r="M4" s="1141"/>
      <c r="N4" s="1141"/>
      <c r="O4" s="1141"/>
      <c r="P4" s="1141"/>
    </row>
    <row r="5" spans="1:17" ht="15">
      <c r="A5" s="1141" t="s">
        <v>257</v>
      </c>
      <c r="B5" s="1141"/>
      <c r="C5" s="1141"/>
      <c r="D5" s="1141"/>
      <c r="E5" s="1141"/>
      <c r="F5" s="1141"/>
      <c r="G5" s="1141"/>
      <c r="H5" s="1141"/>
      <c r="I5" s="1141"/>
      <c r="J5" s="1141"/>
      <c r="K5" s="1141"/>
      <c r="L5" s="1141"/>
      <c r="M5" s="1141"/>
      <c r="N5" s="1141"/>
      <c r="O5" s="1141"/>
      <c r="P5" s="1141"/>
    </row>
    <row r="6" spans="1:17" ht="15">
      <c r="A6" s="1151" t="str">
        <f>TCOS!F9</f>
        <v>AEP Appalachian Transmission Company</v>
      </c>
      <c r="B6" s="1151"/>
      <c r="C6" s="1151"/>
      <c r="D6" s="1151"/>
      <c r="E6" s="1151"/>
      <c r="F6" s="1151"/>
      <c r="G6" s="1151"/>
      <c r="H6" s="1151"/>
      <c r="I6" s="1151"/>
      <c r="J6" s="1151"/>
      <c r="K6" s="1151"/>
      <c r="L6" s="1151"/>
      <c r="M6" s="1151"/>
      <c r="N6" s="1151"/>
      <c r="O6" s="1151"/>
      <c r="P6" s="1151"/>
    </row>
    <row r="8" spans="1:17" ht="20.25">
      <c r="A8" s="447"/>
      <c r="O8" s="398" t="str">
        <f>"Page "&amp;Q8&amp;" of "</f>
        <v xml:space="preserve">Page 1 of </v>
      </c>
      <c r="P8" s="448">
        <f>COUNT(Q$8:Q$57702)</f>
        <v>2</v>
      </c>
      <c r="Q8" s="398">
        <v>1</v>
      </c>
    </row>
    <row r="9" spans="1:17" ht="18">
      <c r="C9" s="6"/>
    </row>
    <row r="11" spans="1:17" ht="18">
      <c r="B11" s="449" t="s">
        <v>461</v>
      </c>
      <c r="C11" s="1188" t="str">
        <f>"Calculate Return and Income Taxes with "&amp;F17&amp;" basis point ROE increase for Projects Qualified for Regional Billing."</f>
        <v>Calculate Return and Income Taxes with 0 basis point ROE increase for Projects Qualified for Regional Billing.</v>
      </c>
      <c r="D11" s="1189"/>
      <c r="E11" s="1189"/>
      <c r="F11" s="1189"/>
      <c r="G11" s="1189"/>
      <c r="H11" s="1189"/>
      <c r="I11" s="1189"/>
    </row>
    <row r="12" spans="1:17" ht="18.75" customHeight="1">
      <c r="C12" s="1189"/>
      <c r="D12" s="1189"/>
      <c r="E12" s="1189"/>
      <c r="F12" s="1189"/>
      <c r="G12" s="1189"/>
      <c r="H12" s="1189"/>
      <c r="I12" s="1189"/>
    </row>
    <row r="13" spans="1:17" ht="15.75" customHeight="1">
      <c r="C13" s="450"/>
      <c r="D13" s="450"/>
      <c r="E13" s="450"/>
      <c r="F13" s="450"/>
      <c r="G13" s="450"/>
      <c r="H13" s="450"/>
      <c r="I13" s="450"/>
    </row>
    <row r="14" spans="1:17" ht="15.75">
      <c r="C14" s="451" t="str">
        <f>"A.   Determine 'R' with hypothetical "&amp;F17&amp;" basis point increase in ROE for Identified Projects"</f>
        <v>A.   Determine 'R' with hypothetical 0 basis point increase in ROE for Identified Projects</v>
      </c>
      <c r="D14" s="168"/>
    </row>
    <row r="15" spans="1:17">
      <c r="C15" s="41"/>
      <c r="D15" s="168"/>
    </row>
    <row r="16" spans="1:17">
      <c r="C16" s="452" t="str">
        <f>"   ROE w/o incentives  (TCOS, ln "&amp;TCOS!B251&amp;")"</f>
        <v xml:space="preserve">   ROE w/o incentives  (TCOS, ln 138)</v>
      </c>
      <c r="D16" s="168"/>
      <c r="E16" s="453"/>
      <c r="F16" s="574">
        <f>TCOS!J251</f>
        <v>0.10349999999999999</v>
      </c>
      <c r="G16" s="574"/>
      <c r="H16" s="453"/>
      <c r="I16" s="455"/>
      <c r="J16" s="455"/>
      <c r="K16" s="455"/>
      <c r="L16" s="455"/>
      <c r="M16" s="455"/>
      <c r="N16" s="455"/>
      <c r="O16" s="455"/>
      <c r="P16" s="455"/>
      <c r="Q16" s="455"/>
    </row>
    <row r="17" spans="3:17" ht="13.5" thickBot="1">
      <c r="C17" s="452" t="s">
        <v>43</v>
      </c>
      <c r="D17" s="168"/>
      <c r="E17" s="453"/>
      <c r="F17" s="565">
        <v>0</v>
      </c>
      <c r="G17" s="453"/>
      <c r="H17" s="453"/>
      <c r="I17" s="455"/>
      <c r="J17" s="455"/>
      <c r="K17" s="455"/>
      <c r="L17" s="455"/>
      <c r="M17" s="455"/>
      <c r="N17" s="455"/>
      <c r="O17" s="455"/>
      <c r="P17" s="455"/>
    </row>
    <row r="18" spans="3:17">
      <c r="C18" s="452" t="str">
        <f>"   ROE with additional "&amp;F17&amp;" basis point incentive"</f>
        <v xml:space="preserve">   ROE with additional 0 basis point incentive</v>
      </c>
      <c r="D18" s="453"/>
      <c r="E18" s="453"/>
      <c r="F18" s="456">
        <f>IF((F16+(F17/10000)&gt;0.125),"ERROR",F16+(F17/10000))</f>
        <v>0.10349999999999999</v>
      </c>
      <c r="G18" s="457"/>
      <c r="H18" s="453"/>
      <c r="I18" s="455"/>
      <c r="J18" s="455"/>
      <c r="K18" s="455"/>
      <c r="L18" s="575" t="s">
        <v>234</v>
      </c>
      <c r="M18" s="576"/>
      <c r="N18" s="576"/>
      <c r="O18" s="576"/>
      <c r="P18" s="577"/>
    </row>
    <row r="19" spans="3:17">
      <c r="C19" s="452"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8"/>
      <c r="E19" s="453"/>
      <c r="F19" s="458"/>
      <c r="G19" s="458"/>
      <c r="H19" s="453"/>
      <c r="I19" s="455"/>
      <c r="J19" s="455"/>
      <c r="K19" s="455"/>
      <c r="L19" s="578"/>
      <c r="M19" s="455"/>
      <c r="N19" s="455" t="s">
        <v>45</v>
      </c>
      <c r="O19" s="455" t="s">
        <v>46</v>
      </c>
      <c r="P19" s="579" t="s">
        <v>47</v>
      </c>
    </row>
    <row r="20" spans="3:17">
      <c r="C20" s="455"/>
      <c r="D20" s="459" t="s">
        <v>436</v>
      </c>
      <c r="E20" s="459" t="s">
        <v>435</v>
      </c>
      <c r="F20" s="460" t="s">
        <v>44</v>
      </c>
      <c r="G20" s="460"/>
      <c r="H20" s="453"/>
      <c r="I20" s="455"/>
      <c r="J20" s="455"/>
      <c r="K20" s="455"/>
      <c r="L20" s="578" t="s">
        <v>232</v>
      </c>
      <c r="M20" s="580" t="str">
        <f>+TCOS!O3</f>
        <v xml:space="preserve"> </v>
      </c>
      <c r="P20" s="581"/>
    </row>
    <row r="21" spans="3:17">
      <c r="C21" s="461" t="s">
        <v>48</v>
      </c>
      <c r="D21" s="582">
        <f>TCOS!I249</f>
        <v>0.44999999999999996</v>
      </c>
      <c r="E21" s="462">
        <f>TCOS!J249</f>
        <v>4.5448324634166044E-2</v>
      </c>
      <c r="F21" s="463">
        <f>E21*D21</f>
        <v>2.0451746085374718E-2</v>
      </c>
      <c r="G21" s="463"/>
      <c r="H21" s="453"/>
      <c r="I21" s="455"/>
      <c r="J21" s="464"/>
      <c r="K21" s="464"/>
      <c r="L21" s="528"/>
      <c r="M21" s="47" t="s">
        <v>233</v>
      </c>
      <c r="N21" s="694" t="e">
        <f>+M88+#REF!+#REF!+#REF!+#REF!+#REF!+#REF!+#REF!</f>
        <v>#N/A</v>
      </c>
      <c r="O21" s="694" t="e">
        <f>+N88+#REF!+#REF!+#REF!+#REF!+#REF!+#REF!+#REF!</f>
        <v>#N/A</v>
      </c>
      <c r="P21" s="583" t="e">
        <f>+O21-N21</f>
        <v>#N/A</v>
      </c>
    </row>
    <row r="22" spans="3:17" ht="13.5" thickBot="1">
      <c r="C22" s="461" t="s">
        <v>49</v>
      </c>
      <c r="D22" s="582">
        <f>TCOS!I250</f>
        <v>0</v>
      </c>
      <c r="E22" s="462">
        <f>TCOS!J250</f>
        <v>0</v>
      </c>
      <c r="F22" s="463">
        <f>E22*D22</f>
        <v>0</v>
      </c>
      <c r="G22" s="463"/>
      <c r="H22" s="465"/>
      <c r="I22" s="465"/>
      <c r="J22" s="466"/>
      <c r="K22" s="466"/>
      <c r="L22" s="528"/>
      <c r="M22" s="47" t="s">
        <v>618</v>
      </c>
      <c r="N22" s="695" t="e">
        <f>M89+#REF!+#REF!+#REF!+#REF!+#REF!+#REF!+#REF!+#REF!</f>
        <v>#N/A</v>
      </c>
      <c r="O22" s="695" t="e">
        <f>N89+#REF!+#REF!+#REF!+#REF!+#REF!+#REF!+#REF!+#REF!</f>
        <v>#N/A</v>
      </c>
      <c r="P22" s="584" t="e">
        <f>+O22-N22</f>
        <v>#N/A</v>
      </c>
      <c r="Q22" s="466"/>
    </row>
    <row r="23" spans="3:17">
      <c r="C23" s="461" t="s">
        <v>29</v>
      </c>
      <c r="D23" s="582">
        <f>TCOS!I251</f>
        <v>0.55000000000000004</v>
      </c>
      <c r="E23" s="462">
        <f>+F18</f>
        <v>0.10349999999999999</v>
      </c>
      <c r="F23" s="467">
        <f>E23*D23</f>
        <v>5.6925000000000003E-2</v>
      </c>
      <c r="G23" s="467"/>
      <c r="H23" s="465"/>
      <c r="I23" s="465"/>
      <c r="J23" s="466"/>
      <c r="K23" s="466"/>
      <c r="L23" s="528"/>
      <c r="M23" s="47" t="str">
        <f>"True-up of ARR For "&amp;TCOS!L4&amp;""</f>
        <v>True-up of ARR For 2026</v>
      </c>
      <c r="N23" s="506" t="e">
        <f>+N22-N21</f>
        <v>#N/A</v>
      </c>
      <c r="O23" s="506" t="e">
        <f>+O22-O21</f>
        <v>#N/A</v>
      </c>
      <c r="P23" s="585" t="e">
        <f>+P22-P21</f>
        <v>#N/A</v>
      </c>
      <c r="Q23" s="466"/>
    </row>
    <row r="24" spans="3:17">
      <c r="C24" s="452"/>
      <c r="D24"/>
      <c r="E24" s="468" t="s">
        <v>50</v>
      </c>
      <c r="F24" s="463">
        <f>SUM(F21:F23)</f>
        <v>7.7376746085374717E-2</v>
      </c>
      <c r="G24" s="463"/>
      <c r="H24" s="465"/>
      <c r="I24" s="465"/>
      <c r="J24" s="466"/>
      <c r="K24" s="466"/>
      <c r="L24" s="528"/>
      <c r="P24" s="581"/>
      <c r="Q24" s="466"/>
    </row>
    <row r="25" spans="3:17" ht="13.5" thickBot="1">
      <c r="C25" s="41"/>
      <c r="D25" s="473"/>
      <c r="E25" s="473"/>
      <c r="F25" s="465"/>
      <c r="G25" s="465"/>
      <c r="H25" s="465"/>
      <c r="I25" s="465"/>
      <c r="J25" s="465"/>
      <c r="K25" s="465"/>
      <c r="L25" s="586"/>
      <c r="M25" s="587"/>
      <c r="N25" s="588"/>
      <c r="O25" s="588"/>
      <c r="P25" s="584"/>
      <c r="Q25" s="465"/>
    </row>
    <row r="26" spans="3:17" ht="15.75">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65"/>
      <c r="I26" s="453"/>
      <c r="J26" s="465"/>
      <c r="K26" s="465"/>
      <c r="L26" s="465"/>
      <c r="M26" s="465"/>
      <c r="N26" s="465"/>
      <c r="O26" s="465"/>
      <c r="P26" s="465"/>
      <c r="Q26" s="465"/>
    </row>
    <row r="27" spans="3:17">
      <c r="C27" s="455"/>
      <c r="D27" s="473"/>
      <c r="E27" s="473"/>
      <c r="F27" s="465"/>
      <c r="G27" s="465"/>
      <c r="H27" s="465"/>
      <c r="I27" s="465"/>
      <c r="J27" s="465"/>
      <c r="K27" s="465"/>
      <c r="L27" s="465"/>
      <c r="M27" s="465"/>
      <c r="N27" s="465"/>
      <c r="O27" s="465"/>
      <c r="P27" s="465"/>
      <c r="Q27" s="465"/>
    </row>
    <row r="28" spans="3:17">
      <c r="C28" s="452" t="str">
        <f>"   Rate Base  (True-Up TCOS, ln "&amp;TCOS!B118&amp;")"</f>
        <v xml:space="preserve">   Rate Base  (True-Up TCOS, ln 58)</v>
      </c>
      <c r="D28" s="453"/>
      <c r="E28" s="481">
        <f>TCOS!L118</f>
        <v>133007972.72636339</v>
      </c>
      <c r="F28" s="488"/>
      <c r="G28" s="488"/>
      <c r="H28" s="465"/>
      <c r="I28" s="465"/>
      <c r="J28" s="465"/>
      <c r="K28" s="465"/>
      <c r="L28" s="465"/>
      <c r="M28" s="465"/>
      <c r="N28" s="465"/>
      <c r="O28" s="465"/>
      <c r="P28" s="488"/>
      <c r="Q28" s="465"/>
    </row>
    <row r="29" spans="3:17">
      <c r="C29" s="455" t="s">
        <v>52</v>
      </c>
      <c r="D29" s="483"/>
      <c r="E29" s="463">
        <f>F24</f>
        <v>7.7376746085374717E-2</v>
      </c>
      <c r="F29" s="465"/>
      <c r="G29" s="465"/>
      <c r="H29" s="465"/>
      <c r="I29" s="465"/>
      <c r="J29" s="465"/>
      <c r="K29" s="465"/>
      <c r="L29" s="465"/>
      <c r="M29" s="465"/>
      <c r="N29" s="465"/>
      <c r="O29" s="465"/>
      <c r="P29" s="465"/>
      <c r="Q29" s="465"/>
    </row>
    <row r="30" spans="3:17">
      <c r="C30" s="484" t="s">
        <v>53</v>
      </c>
      <c r="D30" s="484"/>
      <c r="E30" s="466">
        <f>E28*E29</f>
        <v>10291724.132978266</v>
      </c>
      <c r="F30" s="465"/>
      <c r="G30" s="465"/>
      <c r="H30" s="465"/>
      <c r="I30" s="465"/>
      <c r="J30" s="466"/>
      <c r="K30" s="466"/>
      <c r="L30" s="466"/>
      <c r="M30" s="466"/>
      <c r="N30" s="466"/>
      <c r="O30" s="466"/>
      <c r="P30" s="465"/>
      <c r="Q30" s="466"/>
    </row>
    <row r="31" spans="3:17">
      <c r="C31" s="484"/>
      <c r="D31" s="455"/>
      <c r="E31" s="455"/>
      <c r="F31" s="465"/>
      <c r="G31" s="465"/>
      <c r="H31" s="465"/>
      <c r="I31" s="465"/>
      <c r="J31" s="466"/>
      <c r="K31" s="466"/>
      <c r="L31" s="466"/>
      <c r="M31" s="466"/>
      <c r="N31" s="466"/>
      <c r="O31" s="466"/>
      <c r="P31" s="465"/>
      <c r="Q31" s="466"/>
    </row>
    <row r="32" spans="3:17"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6"/>
      <c r="J32" s="487"/>
      <c r="K32" s="487"/>
      <c r="L32" s="487"/>
      <c r="M32" s="487"/>
      <c r="N32" s="487"/>
      <c r="O32" s="487"/>
      <c r="P32" s="486"/>
      <c r="Q32" s="487"/>
    </row>
    <row r="33" spans="2:17">
      <c r="C33" s="452"/>
      <c r="D33" s="455"/>
      <c r="E33" s="455"/>
      <c r="F33" s="465"/>
      <c r="G33" s="465"/>
      <c r="H33" s="465"/>
      <c r="I33" s="465"/>
      <c r="J33" s="466"/>
      <c r="K33" s="466"/>
      <c r="L33" s="466"/>
      <c r="M33" s="466"/>
      <c r="N33" s="466"/>
      <c r="O33" s="466"/>
      <c r="P33" s="465"/>
      <c r="Q33" s="466"/>
    </row>
    <row r="34" spans="2:17">
      <c r="C34" s="455" t="s">
        <v>54</v>
      </c>
      <c r="D34" s="468"/>
      <c r="E34" s="488">
        <f>E30</f>
        <v>10291724.132978266</v>
      </c>
      <c r="F34" s="465"/>
      <c r="G34" s="465"/>
      <c r="H34" s="465"/>
      <c r="I34" s="465"/>
      <c r="J34" s="465"/>
      <c r="K34" s="465"/>
      <c r="L34" s="465"/>
      <c r="M34" s="465"/>
      <c r="N34" s="465"/>
      <c r="O34" s="465"/>
      <c r="P34" s="465"/>
      <c r="Q34" s="465"/>
    </row>
    <row r="35" spans="2:17">
      <c r="C35" s="452" t="str">
        <f>"   Effective Tax Rate  (TCOS, ln "&amp;TCOS!B178&amp;")"</f>
        <v xml:space="preserve">   Effective Tax Rate  (TCOS, ln 97)</v>
      </c>
      <c r="D35" s="47"/>
      <c r="E35" s="489">
        <f>TCOS!G178</f>
        <v>0.26040785931942406</v>
      </c>
      <c r="F35" s="3"/>
      <c r="G35" s="3"/>
      <c r="H35" s="3"/>
      <c r="I35" s="490"/>
      <c r="J35" s="3"/>
      <c r="K35" s="3"/>
      <c r="Q35" s="3"/>
    </row>
    <row r="36" spans="2:17">
      <c r="C36" s="484" t="s">
        <v>55</v>
      </c>
      <c r="D36" s="47"/>
      <c r="E36" s="491">
        <f>E34*E35</f>
        <v>2680045.8501749258</v>
      </c>
      <c r="F36" s="3"/>
      <c r="G36" s="3"/>
      <c r="H36" s="3"/>
      <c r="I36" s="490"/>
      <c r="J36" s="3"/>
      <c r="K36" s="3"/>
      <c r="Q36" s="3"/>
    </row>
    <row r="37" spans="2:17" ht="15">
      <c r="C37" s="452" t="s">
        <v>97</v>
      </c>
      <c r="D37" s="136"/>
      <c r="E37" s="465">
        <f>TCOS!L186</f>
        <v>0</v>
      </c>
      <c r="F37" s="136"/>
      <c r="G37" s="136"/>
      <c r="H37" s="136"/>
      <c r="I37" s="136"/>
      <c r="J37" s="136"/>
      <c r="K37" s="136"/>
      <c r="L37" s="136"/>
      <c r="M37" s="136"/>
      <c r="N37" s="136"/>
      <c r="O37" s="136"/>
      <c r="P37" s="150"/>
      <c r="Q37" s="136"/>
    </row>
    <row r="38" spans="2:17" ht="15">
      <c r="C38" s="452" t="s">
        <v>550</v>
      </c>
      <c r="D38" s="136"/>
      <c r="E38" s="465">
        <f>TCOS!L187</f>
        <v>1381.0452888077118</v>
      </c>
      <c r="F38" s="136"/>
      <c r="G38" s="136"/>
      <c r="H38" s="136"/>
      <c r="I38" s="136"/>
      <c r="J38" s="136"/>
      <c r="K38" s="136"/>
      <c r="L38" s="136"/>
      <c r="M38" s="136"/>
      <c r="N38" s="136"/>
      <c r="O38" s="136"/>
      <c r="P38" s="150"/>
      <c r="Q38" s="136"/>
    </row>
    <row r="39" spans="2:17" ht="15">
      <c r="C39" s="452" t="s">
        <v>552</v>
      </c>
      <c r="D39" s="136"/>
      <c r="E39" s="589">
        <f>TCOS!L188</f>
        <v>34631.217865283106</v>
      </c>
      <c r="F39" s="136"/>
      <c r="G39" s="136"/>
      <c r="H39" s="136"/>
      <c r="I39" s="136"/>
      <c r="J39" s="136"/>
      <c r="K39" s="136"/>
      <c r="L39" s="136"/>
      <c r="M39" s="136"/>
      <c r="N39" s="136"/>
      <c r="O39" s="136"/>
      <c r="P39" s="150"/>
      <c r="Q39" s="136"/>
    </row>
    <row r="40" spans="2:17" ht="15">
      <c r="C40" s="484" t="s">
        <v>56</v>
      </c>
      <c r="D40" s="136"/>
      <c r="E40" s="465">
        <f>E36+E37+E38+E39</f>
        <v>2716058.1133290166</v>
      </c>
      <c r="F40" s="136"/>
      <c r="G40" s="136"/>
      <c r="H40" s="136"/>
      <c r="I40" s="136"/>
      <c r="J40" s="136"/>
      <c r="K40" s="136"/>
      <c r="L40" s="136"/>
      <c r="M40" s="136"/>
      <c r="N40" s="136"/>
      <c r="O40" s="136"/>
      <c r="P40" s="149"/>
      <c r="Q40" s="136"/>
    </row>
    <row r="41" spans="2:17" ht="12.75" customHeight="1">
      <c r="C41" s="132"/>
      <c r="D41" s="136"/>
      <c r="E41" s="136"/>
      <c r="F41" s="136"/>
      <c r="G41" s="136"/>
      <c r="H41" s="136"/>
      <c r="I41" s="136"/>
      <c r="J41" s="136"/>
      <c r="K41" s="136"/>
      <c r="L41" s="136"/>
      <c r="M41" s="136"/>
      <c r="N41" s="136"/>
      <c r="O41" s="136"/>
      <c r="P41" s="149"/>
      <c r="Q41" s="136"/>
    </row>
    <row r="42" spans="2:17" ht="18.75">
      <c r="B42" s="449" t="s">
        <v>462</v>
      </c>
      <c r="C42" s="6" t="str">
        <f>"Calculate Net Plant Carrying Charge Rate (Fixed Charge Rate or FCR) with hypothetical "&amp;F17&amp;""</f>
        <v>Calculate Net Plant Carrying Charge Rate (Fixed Charge Rate or FCR) with hypothetical 0</v>
      </c>
      <c r="D42" s="136"/>
      <c r="E42" s="136"/>
      <c r="F42" s="136"/>
      <c r="G42" s="136"/>
      <c r="H42" s="136"/>
      <c r="I42" s="136"/>
      <c r="J42" s="136"/>
      <c r="K42" s="136"/>
      <c r="L42" s="136"/>
      <c r="M42" s="136"/>
      <c r="N42" s="136"/>
      <c r="O42" s="136"/>
      <c r="P42" s="149"/>
      <c r="Q42" s="136"/>
    </row>
    <row r="43" spans="2:17" ht="18.75" customHeight="1">
      <c r="C43" s="6" t="str">
        <f>"basis point ROE increase."</f>
        <v>basis point ROE increase.</v>
      </c>
      <c r="D43" s="136"/>
      <c r="E43" s="136"/>
      <c r="F43" s="136"/>
      <c r="G43" s="136"/>
      <c r="H43" s="136"/>
      <c r="I43" s="136"/>
      <c r="J43" s="136"/>
      <c r="K43" s="136"/>
      <c r="L43" s="136"/>
      <c r="M43" s="136"/>
      <c r="N43" s="136"/>
      <c r="O43" s="136"/>
      <c r="P43" s="149"/>
      <c r="Q43" s="136"/>
    </row>
    <row r="44" spans="2:17" ht="12.75" customHeight="1">
      <c r="C44" s="6"/>
      <c r="D44" s="136"/>
      <c r="E44" s="136"/>
      <c r="F44" s="136"/>
      <c r="G44" s="136"/>
      <c r="H44" s="136"/>
      <c r="I44" s="136"/>
      <c r="J44" s="136"/>
      <c r="K44" s="136"/>
      <c r="L44" s="136"/>
      <c r="M44" s="136"/>
      <c r="N44" s="136"/>
      <c r="O44" s="136"/>
      <c r="P44" s="149"/>
      <c r="Q44" s="136"/>
    </row>
    <row r="45" spans="2:17" ht="15.75">
      <c r="C45" s="451" t="s">
        <v>253</v>
      </c>
      <c r="D45" s="136"/>
      <c r="E45" s="136"/>
      <c r="F45" s="132"/>
      <c r="G45" s="132"/>
      <c r="H45" s="136"/>
      <c r="I45" s="136"/>
      <c r="J45" s="136"/>
      <c r="K45" s="136"/>
      <c r="L45" s="136"/>
      <c r="M45" s="136"/>
      <c r="N45" s="136"/>
      <c r="O45" s="136"/>
      <c r="P45" s="149"/>
      <c r="Q45" s="136"/>
    </row>
    <row r="46" spans="2:17">
      <c r="B46" s="3"/>
      <c r="C46" s="452"/>
      <c r="D46" s="453"/>
      <c r="E46" s="453"/>
      <c r="F46" s="453"/>
      <c r="G46" s="453"/>
      <c r="H46" s="453"/>
      <c r="I46" s="453"/>
      <c r="J46" s="453"/>
      <c r="K46" s="453"/>
      <c r="L46" s="453"/>
      <c r="M46" s="453"/>
      <c r="N46" s="453"/>
      <c r="O46" s="453"/>
      <c r="P46" s="465"/>
      <c r="Q46" s="453"/>
    </row>
    <row r="47" spans="2:17" ht="12.75" customHeight="1">
      <c r="B47" s="3"/>
      <c r="C47" s="452" t="str">
        <f>"   Annual Revenue Requirement  (TCOS, ln "&amp;TCOS!B13&amp;")"</f>
        <v xml:space="preserve">   Annual Revenue Requirement  (TCOS, ln 1)</v>
      </c>
      <c r="D47" s="453"/>
      <c r="E47" s="453"/>
      <c r="F47" s="465">
        <f>TCOS!L13</f>
        <v>22200358.514273893</v>
      </c>
      <c r="G47" s="465"/>
      <c r="H47" s="590" t="s">
        <v>406</v>
      </c>
      <c r="I47" s="453"/>
      <c r="J47" s="453"/>
      <c r="K47" s="453"/>
      <c r="L47" s="453"/>
      <c r="M47" s="453"/>
      <c r="N47" s="453"/>
      <c r="O47" s="453"/>
      <c r="P47" s="465"/>
      <c r="Q47" s="453"/>
    </row>
    <row r="48" spans="2:17" ht="12.75" customHeight="1">
      <c r="B48" s="3"/>
      <c r="C48" s="493" t="str">
        <f>"   Lease Payments (TCOS, Lns "&amp;TCOS!B157&amp;")"</f>
        <v xml:space="preserve">   Lease Payments (TCOS, Lns 80)</v>
      </c>
      <c r="D48" s="453"/>
      <c r="E48" s="453"/>
      <c r="F48" s="465">
        <f>TCOS!L157</f>
        <v>0</v>
      </c>
      <c r="G48" s="465"/>
      <c r="H48" s="590"/>
      <c r="I48" s="453"/>
      <c r="J48" s="453"/>
      <c r="K48" s="453"/>
      <c r="L48" s="453"/>
      <c r="M48" s="453"/>
      <c r="N48" s="453"/>
      <c r="O48" s="453"/>
      <c r="P48" s="465"/>
      <c r="Q48" s="453"/>
    </row>
    <row r="49" spans="2:17">
      <c r="B49" s="3"/>
      <c r="C49" s="452" t="str">
        <f>"   Return  (TCOS, ln "&amp;TCOS!B191&amp;")"</f>
        <v xml:space="preserve">   Return  (TCOS, ln 109)</v>
      </c>
      <c r="D49" s="453"/>
      <c r="E49" s="453"/>
      <c r="F49" s="466">
        <f>TCOS!L191</f>
        <v>10291724.132978266</v>
      </c>
      <c r="G49" s="466"/>
      <c r="H49" s="452"/>
      <c r="I49" s="452"/>
      <c r="J49" s="452"/>
      <c r="K49" s="452"/>
      <c r="L49" s="452"/>
      <c r="M49" s="452"/>
      <c r="N49" s="452"/>
      <c r="O49" s="452"/>
      <c r="P49" s="465"/>
      <c r="Q49" s="452"/>
    </row>
    <row r="50" spans="2:17">
      <c r="B50" s="3"/>
      <c r="C50" s="452" t="str">
        <f>"   Income Taxes  (TCOS, ln "&amp;TCOS!B189&amp;")"</f>
        <v xml:space="preserve">   Income Taxes  (TCOS, ln 108)</v>
      </c>
      <c r="D50" s="453"/>
      <c r="E50" s="453"/>
      <c r="F50" s="494">
        <f>TCOS!L189</f>
        <v>2716058.1133290166</v>
      </c>
      <c r="G50" s="494"/>
      <c r="H50" s="453"/>
      <c r="I50" s="453"/>
      <c r="J50" s="495"/>
      <c r="K50" s="495"/>
      <c r="L50" s="495"/>
      <c r="M50" s="495"/>
      <c r="N50" s="495"/>
      <c r="O50" s="495"/>
      <c r="P50" s="453"/>
      <c r="Q50" s="495"/>
    </row>
    <row r="51" spans="2:17">
      <c r="B51" s="3"/>
      <c r="C51" s="1197" t="s">
        <v>619</v>
      </c>
      <c r="D51" s="1198"/>
      <c r="E51" s="453"/>
      <c r="F51" s="466">
        <f>F47-F49-F50-F48</f>
        <v>9192576.2679666094</v>
      </c>
      <c r="G51" s="466"/>
      <c r="H51" s="496"/>
      <c r="I51" s="453"/>
      <c r="J51" s="496"/>
      <c r="K51" s="496"/>
      <c r="L51" s="496"/>
      <c r="M51" s="496"/>
      <c r="N51" s="496"/>
      <c r="O51" s="496"/>
      <c r="P51" s="496"/>
      <c r="Q51" s="496"/>
    </row>
    <row r="52" spans="2:17">
      <c r="B52" s="3"/>
      <c r="C52" s="1198"/>
      <c r="D52" s="1198"/>
      <c r="E52" s="453"/>
      <c r="F52" s="465"/>
      <c r="G52" s="465"/>
      <c r="H52" s="497"/>
      <c r="I52" s="498"/>
      <c r="J52" s="498"/>
      <c r="K52" s="498"/>
      <c r="L52" s="498"/>
      <c r="M52" s="498"/>
      <c r="N52" s="498"/>
      <c r="O52" s="498"/>
      <c r="P52" s="498"/>
      <c r="Q52" s="498"/>
    </row>
    <row r="53" spans="2:17" ht="15.75">
      <c r="B53" s="3"/>
      <c r="C53" s="451" t="str">
        <f>"B.   Determine Annual Revenue Requirement with hypothetical "&amp;F17&amp;" basis point increase in ROE."</f>
        <v>B.   Determine Annual Revenue Requirement with hypothetical 0 basis point increase in ROE.</v>
      </c>
      <c r="D53" s="455"/>
      <c r="E53" s="455"/>
      <c r="F53" s="465"/>
      <c r="G53" s="465"/>
      <c r="H53" s="497"/>
      <c r="I53" s="498"/>
      <c r="J53" s="498"/>
      <c r="K53" s="498"/>
      <c r="L53" s="498"/>
      <c r="M53" s="498"/>
      <c r="N53" s="498"/>
      <c r="O53" s="498"/>
      <c r="P53" s="498"/>
      <c r="Q53" s="498"/>
    </row>
    <row r="54" spans="2:17">
      <c r="B54" s="3"/>
      <c r="C54" s="452"/>
      <c r="D54" s="455"/>
      <c r="E54" s="455"/>
      <c r="F54" s="465"/>
      <c r="G54" s="465"/>
      <c r="H54" s="497"/>
      <c r="I54" s="498"/>
      <c r="J54" s="498"/>
      <c r="K54" s="498"/>
      <c r="L54" s="498"/>
      <c r="M54" s="498"/>
      <c r="N54" s="498"/>
      <c r="O54" s="498"/>
      <c r="P54" s="498"/>
      <c r="Q54" s="498"/>
    </row>
    <row r="55" spans="2:17">
      <c r="B55" s="3"/>
      <c r="C55" s="493" t="str">
        <f>C51</f>
        <v xml:space="preserve">   Annual Revenue Requirement, Less Lease Payments, Return and Taxes</v>
      </c>
      <c r="D55" s="455"/>
      <c r="E55" s="455"/>
      <c r="F55" s="465">
        <f>F51</f>
        <v>9192576.2679666094</v>
      </c>
      <c r="G55" s="465"/>
      <c r="H55" s="453"/>
      <c r="I55" s="453"/>
      <c r="J55" s="453"/>
      <c r="K55" s="453"/>
      <c r="L55" s="453"/>
      <c r="M55" s="453"/>
      <c r="N55" s="453"/>
      <c r="O55" s="453"/>
      <c r="P55" s="499"/>
      <c r="Q55" s="453"/>
    </row>
    <row r="56" spans="2:17">
      <c r="B56" s="3"/>
      <c r="C56" s="455" t="s">
        <v>94</v>
      </c>
      <c r="D56" s="47"/>
      <c r="E56" s="3"/>
      <c r="F56" s="491">
        <f>E30</f>
        <v>10291724.132978266</v>
      </c>
      <c r="G56" s="491"/>
      <c r="H56" s="3"/>
      <c r="I56" s="591"/>
      <c r="J56" s="3"/>
      <c r="K56" s="3"/>
      <c r="Q56" s="3"/>
    </row>
    <row r="57" spans="2:17" ht="12.75" customHeight="1">
      <c r="B57" s="3"/>
      <c r="C57" s="452" t="s">
        <v>62</v>
      </c>
      <c r="D57" s="453"/>
      <c r="E57" s="453"/>
      <c r="F57" s="494">
        <f>E40</f>
        <v>2716058.1133290166</v>
      </c>
      <c r="G57" s="494"/>
      <c r="H57" s="3"/>
      <c r="I57" s="490"/>
      <c r="J57" s="3"/>
      <c r="K57" s="3"/>
      <c r="Q57" s="3"/>
    </row>
    <row r="58" spans="2:17">
      <c r="B58" s="3"/>
      <c r="C58" s="3" t="str">
        <f>"   Annual Revenue Requirement, with "&amp;F17&amp;" Basis Point ROE increase"</f>
        <v xml:space="preserve">   Annual Revenue Requirement, with 0 Basis Point ROE increase</v>
      </c>
      <c r="D58" s="47"/>
      <c r="E58" s="3"/>
      <c r="F58" s="491">
        <f>SUM(F55:F57)</f>
        <v>22200358.514273889</v>
      </c>
      <c r="G58" s="491"/>
      <c r="H58" s="3"/>
      <c r="I58" s="490"/>
      <c r="J58" s="3"/>
      <c r="K58" s="3"/>
      <c r="Q58" s="3"/>
    </row>
    <row r="59" spans="2:17">
      <c r="B59" s="3"/>
      <c r="C59" s="452" t="str">
        <f>"   Depreciation  (TCOS, ln "&amp;TCOS!B161&amp;")"</f>
        <v xml:space="preserve">   Depreciation  (TCOS, ln 83)</v>
      </c>
      <c r="D59" s="47"/>
      <c r="E59" s="3"/>
      <c r="F59" s="500">
        <f>TCOS!L161</f>
        <v>4404333.8212330546</v>
      </c>
      <c r="G59" s="500"/>
      <c r="H59" s="491"/>
      <c r="I59" s="490"/>
      <c r="J59" s="3"/>
      <c r="K59" s="3"/>
      <c r="Q59" s="3"/>
    </row>
    <row r="60" spans="2:17">
      <c r="B60" s="3"/>
      <c r="C60" s="1125" t="str">
        <f>"   Annual Rev. Req, w/ "&amp;F17&amp;" Basis Point ROE increase, less Depreciation"</f>
        <v xml:space="preserve">   Annual Rev. Req, w/ 0 Basis Point ROE increase, less Depreciation</v>
      </c>
      <c r="D60" s="1189"/>
      <c r="E60" s="3"/>
      <c r="F60" s="491">
        <f>F58-F59</f>
        <v>17796024.693040833</v>
      </c>
      <c r="G60" s="491"/>
      <c r="H60" s="3"/>
      <c r="I60" s="490"/>
      <c r="J60" s="3"/>
      <c r="K60" s="3"/>
      <c r="Q60" s="3"/>
    </row>
    <row r="61" spans="2:17">
      <c r="B61" s="3"/>
      <c r="C61" s="1189"/>
      <c r="D61" s="1189"/>
      <c r="E61" s="3"/>
      <c r="F61" s="3"/>
      <c r="G61" s="3"/>
      <c r="H61" s="3"/>
      <c r="I61" s="490"/>
      <c r="J61" s="3"/>
      <c r="K61" s="3"/>
      <c r="Q61" s="3"/>
    </row>
    <row r="62" spans="2:17" ht="15.75">
      <c r="B62" s="3"/>
      <c r="C62" s="451" t="str">
        <f>"C.   Determine FCR with hypothetical "&amp;F17&amp;" basis point ROE increase."</f>
        <v>C.   Determine FCR with hypothetical 0 basis point ROE increase.</v>
      </c>
      <c r="D62" s="47"/>
      <c r="E62" s="3"/>
      <c r="F62" s="3"/>
      <c r="G62" s="3"/>
      <c r="H62" s="3"/>
      <c r="I62" s="490"/>
      <c r="J62" s="3"/>
      <c r="K62" s="3"/>
      <c r="Q62" s="3"/>
    </row>
    <row r="63" spans="2:17">
      <c r="B63" s="3"/>
      <c r="C63" s="3"/>
      <c r="D63" s="47"/>
      <c r="E63" s="3"/>
      <c r="F63" s="3"/>
      <c r="G63" s="3"/>
      <c r="H63" s="3"/>
      <c r="I63" s="490"/>
      <c r="J63" s="3"/>
      <c r="K63" s="3"/>
      <c r="Q63" s="3"/>
    </row>
    <row r="64" spans="2:17">
      <c r="B64" s="3"/>
      <c r="C64" s="452" t="str">
        <f>"   Net Transmission Plant  (Projected TCOS, ln "&amp;TCOS!B83&amp;")"</f>
        <v xml:space="preserve">   Net Transmission Plant  (Projected TCOS, ln 33)</v>
      </c>
      <c r="D64" s="47"/>
      <c r="E64" s="3"/>
      <c r="F64" s="491">
        <f>TCOS!L83</f>
        <v>140848753.40974069</v>
      </c>
      <c r="G64" s="491"/>
      <c r="H64" s="491"/>
      <c r="I64" s="592"/>
      <c r="J64" s="3"/>
      <c r="K64" s="3"/>
      <c r="Q64" s="3"/>
    </row>
    <row r="65" spans="2:17">
      <c r="B65" s="3"/>
      <c r="C65" s="3" t="str">
        <f>"   Annual Revenue Requirement, with "&amp;F17&amp;" Basis Point ROE increase"</f>
        <v xml:space="preserve">   Annual Revenue Requirement, with 0 Basis Point ROE increase</v>
      </c>
      <c r="D65" s="47"/>
      <c r="E65" s="3"/>
      <c r="F65" s="491">
        <f>F58</f>
        <v>22200358.514273889</v>
      </c>
      <c r="G65" s="491"/>
      <c r="H65" s="3"/>
      <c r="I65" s="490"/>
      <c r="J65" s="3"/>
      <c r="K65" s="3"/>
      <c r="Q65" s="3"/>
    </row>
    <row r="66" spans="2:17">
      <c r="B66" s="3"/>
      <c r="C66" s="3" t="str">
        <f>"   FCR with "&amp;F17&amp;" Basis Point increase in ROE"</f>
        <v xml:space="preserve">   FCR with 0 Basis Point increase in ROE</v>
      </c>
      <c r="D66" s="47"/>
      <c r="E66" s="3"/>
      <c r="F66" s="489">
        <f>IF(F64=0,0,F65/F64)</f>
        <v>0.15761842385421196</v>
      </c>
      <c r="G66" s="489"/>
      <c r="H66" s="489"/>
      <c r="I66" s="490"/>
      <c r="J66" s="3"/>
      <c r="K66" s="3"/>
      <c r="Q66" s="3"/>
    </row>
    <row r="67" spans="2:17">
      <c r="B67" s="3"/>
      <c r="C67" s="41"/>
      <c r="D67" s="47"/>
      <c r="E67" s="3"/>
      <c r="F67" s="3"/>
      <c r="G67" s="3"/>
      <c r="H67" s="3"/>
      <c r="I67" s="490"/>
      <c r="J67" s="3"/>
      <c r="K67" s="3"/>
      <c r="Q67" s="3"/>
    </row>
    <row r="68" spans="2:17">
      <c r="B68" s="3"/>
      <c r="C68" s="3" t="str">
        <f>"   Annual Rev. Req, w / "&amp;F17&amp;" Basis Point ROE increase, less Dep."</f>
        <v xml:space="preserve">   Annual Rev. Req, w / 0 Basis Point ROE increase, less Dep.</v>
      </c>
      <c r="D68" s="47"/>
      <c r="E68" s="3"/>
      <c r="F68" s="491">
        <f>F60</f>
        <v>17796024.693040833</v>
      </c>
      <c r="G68" s="491"/>
      <c r="H68" s="3"/>
      <c r="I68" s="490"/>
      <c r="J68" s="3"/>
      <c r="K68" s="3"/>
      <c r="Q68" s="3"/>
    </row>
    <row r="69" spans="2:17">
      <c r="B69" s="3"/>
      <c r="C69" s="3" t="str">
        <f>"   FCR with "&amp;F17&amp;" Basis Point ROE increase, less Depreciation"</f>
        <v xml:space="preserve">   FCR with 0 Basis Point ROE increase, less Depreciation</v>
      </c>
      <c r="D69" s="47"/>
      <c r="E69" s="3"/>
      <c r="F69" s="489">
        <f>IF(F68=0,0,F68/F64)</f>
        <v>0.12634847140798416</v>
      </c>
      <c r="G69" s="489"/>
      <c r="H69" s="3"/>
      <c r="I69" s="490"/>
      <c r="J69" s="3"/>
      <c r="K69" s="3"/>
      <c r="Q69" s="3"/>
    </row>
    <row r="70" spans="2:17">
      <c r="B70" s="3"/>
      <c r="C70" s="452" t="str">
        <f>"   FCR less Depreciation  (TCOS, ln "&amp;TCOS!B31&amp;")"</f>
        <v xml:space="preserve">   FCR less Depreciation  (TCOS, ln 10)</v>
      </c>
      <c r="D70" s="47"/>
      <c r="E70" s="3"/>
      <c r="F70" s="502">
        <f>TCOS!L31</f>
        <v>0.12634847140798422</v>
      </c>
      <c r="G70" s="502"/>
      <c r="H70" s="3"/>
      <c r="I70" s="490"/>
      <c r="J70" s="3"/>
      <c r="K70" s="3"/>
      <c r="Q70" s="3"/>
    </row>
    <row r="71" spans="2:17">
      <c r="B71" s="3"/>
      <c r="C71" s="1125" t="str">
        <f>"   Incremental FCR with "&amp;F17&amp;" Basis Point ROE increase, less Depreciation"</f>
        <v xml:space="preserve">   Incremental FCR with 0 Basis Point ROE increase, less Depreciation</v>
      </c>
      <c r="D71" s="1189"/>
      <c r="E71" s="3"/>
      <c r="F71" s="489">
        <f>F69-F70</f>
        <v>0</v>
      </c>
      <c r="G71" s="489"/>
      <c r="H71" s="3"/>
      <c r="I71" s="490"/>
      <c r="J71" s="3"/>
      <c r="K71" s="3"/>
      <c r="Q71" s="3"/>
    </row>
    <row r="72" spans="2:17">
      <c r="B72" s="3"/>
      <c r="C72" s="1189"/>
      <c r="D72" s="1189"/>
      <c r="E72" s="3"/>
      <c r="F72" s="489"/>
      <c r="G72" s="489"/>
      <c r="H72" s="3"/>
      <c r="I72" s="490"/>
      <c r="J72" s="3"/>
      <c r="K72" s="3"/>
      <c r="Q72" s="3"/>
    </row>
    <row r="73" spans="2:17" ht="18.75">
      <c r="B73" s="449" t="s">
        <v>463</v>
      </c>
      <c r="C73" s="6" t="s">
        <v>63</v>
      </c>
      <c r="D73" s="47"/>
      <c r="E73" s="3"/>
      <c r="F73" s="489"/>
      <c r="G73" s="489"/>
      <c r="H73" s="3"/>
      <c r="I73" s="490"/>
      <c r="J73" s="3"/>
      <c r="K73" s="3"/>
      <c r="Q73" s="3"/>
    </row>
    <row r="74" spans="2:17">
      <c r="B74" s="3"/>
      <c r="C74" s="3"/>
      <c r="D74" s="47"/>
      <c r="E74" s="3"/>
      <c r="F74" s="489"/>
      <c r="G74" s="489"/>
      <c r="H74" s="3"/>
      <c r="I74" s="490"/>
      <c r="J74" s="3"/>
      <c r="K74" s="3"/>
      <c r="Q74" s="3"/>
    </row>
    <row r="75" spans="2:17">
      <c r="B75" s="3"/>
      <c r="C75" s="3" t="str">
        <f>+"Average Transmission Plant Balance for "&amp;TCOS!L4&amp;" TCOS, ln "&amp;TCOS!B63</f>
        <v>Average Transmission Plant Balance for 2026 TCOS, ln 19</v>
      </c>
      <c r="D75" s="47"/>
      <c r="E75" s="3"/>
      <c r="F75" s="3"/>
      <c r="G75" s="3"/>
      <c r="H75" s="490">
        <f>TCOS!L63</f>
        <v>160351300.63081348</v>
      </c>
      <c r="J75" s="3"/>
      <c r="K75" s="3"/>
      <c r="Q75" s="3"/>
    </row>
    <row r="76" spans="2:17">
      <c r="B76" s="3"/>
      <c r="C76" s="3" t="str">
        <f>"Annual Depreciation and Amortization Expense (TCOS, ln "&amp;TCOS!B161&amp;")"</f>
        <v>Annual Depreciation and Amortization Expense (TCOS, ln 83)</v>
      </c>
      <c r="D76" s="47"/>
      <c r="E76" s="3"/>
      <c r="H76" s="343">
        <f>TCOS!L161</f>
        <v>4404333.8212330546</v>
      </c>
      <c r="I76" s="490"/>
      <c r="J76" s="3"/>
      <c r="K76" s="3"/>
      <c r="Q76" s="3"/>
    </row>
    <row r="77" spans="2:17">
      <c r="B77" s="3"/>
      <c r="C77" s="3" t="s">
        <v>64</v>
      </c>
      <c r="D77" s="47"/>
      <c r="E77" s="3"/>
      <c r="H77" s="646">
        <f>H76/H75</f>
        <v>2.7466779526618367E-2</v>
      </c>
      <c r="I77" s="504"/>
      <c r="J77" s="1190"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Appalachian Transmission Company establishes Transmission plant in service the depreciation expense component of the carrying charge will be calculated as in the Operating Company formula approved in Docket No. ER08-1329.  The calculation for AEP Appalachian Transmission Company is shown on Worksheet P.</v>
      </c>
      <c r="K77" s="1190"/>
      <c r="L77" s="1190"/>
      <c r="M77" s="1190"/>
      <c r="N77" s="1190"/>
      <c r="O77" s="1190"/>
      <c r="P77" s="1190"/>
      <c r="Q77" s="450"/>
    </row>
    <row r="78" spans="2:17">
      <c r="B78" s="3"/>
      <c r="C78" s="3" t="s">
        <v>65</v>
      </c>
      <c r="D78" s="47"/>
      <c r="E78" s="3"/>
      <c r="H78" s="505">
        <f>IF(H77=0,0,1/H77)</f>
        <v>36.407617392162365</v>
      </c>
      <c r="I78" s="490"/>
      <c r="J78" s="1190"/>
      <c r="K78" s="1190"/>
      <c r="L78" s="1190"/>
      <c r="M78" s="1190"/>
      <c r="N78" s="1190"/>
      <c r="O78" s="1190"/>
      <c r="P78" s="1190"/>
      <c r="Q78" s="450"/>
    </row>
    <row r="79" spans="2:17">
      <c r="B79" s="3"/>
      <c r="C79" s="3" t="s">
        <v>588</v>
      </c>
      <c r="D79" s="47"/>
      <c r="E79" s="3"/>
      <c r="H79" s="506">
        <f>ROUND(H78,0)</f>
        <v>36</v>
      </c>
      <c r="I79" s="490"/>
      <c r="J79" s="1190"/>
      <c r="K79" s="1190"/>
      <c r="L79" s="1190"/>
      <c r="M79" s="1190"/>
      <c r="N79" s="1190"/>
      <c r="O79" s="1190"/>
      <c r="P79" s="1190"/>
      <c r="Q79" s="450"/>
    </row>
    <row r="80" spans="2:17">
      <c r="B80" s="3"/>
      <c r="C80" s="3"/>
      <c r="D80" s="47"/>
      <c r="E80" s="3"/>
      <c r="H80" s="506"/>
      <c r="I80" s="490"/>
      <c r="J80" s="1190"/>
      <c r="K80" s="1190"/>
      <c r="L80" s="1190"/>
      <c r="M80" s="1190"/>
      <c r="N80" s="1190"/>
      <c r="O80" s="1190"/>
      <c r="P80" s="1190"/>
    </row>
    <row r="81" spans="1:17" ht="20.25">
      <c r="A81" s="447" t="str">
        <f>""&amp;A6&amp;" Worksheet K -  ATRR TRUE-UP Calculation for PJM Projects Charged to Benefiting Zones"</f>
        <v>AEP Appalachian Transmission Company Worksheet K -  ATRR TRUE-UP Calculation for PJM Projects Charged to Benefiting Zones</v>
      </c>
      <c r="B81" s="3"/>
      <c r="C81" s="3"/>
      <c r="D81" s="47"/>
      <c r="E81" s="3"/>
      <c r="F81" s="489"/>
      <c r="G81" s="489"/>
      <c r="H81" s="3"/>
      <c r="I81" s="490"/>
      <c r="L81" s="398"/>
      <c r="M81" s="398"/>
      <c r="N81" s="398"/>
      <c r="O81" s="398" t="str">
        <f>"Page "&amp;SUM(Q$8:Q81)&amp;" of "</f>
        <v xml:space="preserve">Page 2 of </v>
      </c>
      <c r="P81" s="448">
        <f>COUNT(Q$8:Q$57702)</f>
        <v>2</v>
      </c>
      <c r="Q81" s="508">
        <v>1</v>
      </c>
    </row>
    <row r="82" spans="1:17">
      <c r="B82" s="3"/>
      <c r="C82" s="3"/>
      <c r="D82" s="47"/>
      <c r="E82" s="3"/>
      <c r="F82" s="3"/>
      <c r="G82" s="3"/>
      <c r="H82" s="3"/>
      <c r="I82" s="490"/>
      <c r="J82" s="3"/>
      <c r="K82" s="3"/>
    </row>
    <row r="83" spans="1:17" ht="18">
      <c r="B83" s="449" t="s">
        <v>464</v>
      </c>
      <c r="C83" s="122" t="s">
        <v>85</v>
      </c>
      <c r="D83" s="47"/>
      <c r="E83" s="3"/>
      <c r="F83" s="3"/>
      <c r="G83" s="3"/>
      <c r="H83" s="3"/>
      <c r="I83" s="490"/>
      <c r="J83" s="490"/>
      <c r="K83" s="503"/>
      <c r="L83" s="490"/>
      <c r="M83" s="490"/>
      <c r="N83" s="490"/>
      <c r="O83" s="490"/>
      <c r="Q83" s="3"/>
    </row>
    <row r="84" spans="1:17" ht="18.75">
      <c r="B84" s="449"/>
      <c r="C84" s="6"/>
      <c r="D84" s="47"/>
      <c r="E84" s="3"/>
      <c r="F84" s="3"/>
      <c r="G84" s="3"/>
      <c r="H84" s="3"/>
      <c r="I84" s="490"/>
      <c r="J84" s="490"/>
      <c r="K84" s="503"/>
      <c r="L84" s="490"/>
      <c r="M84" s="490"/>
      <c r="N84" s="490"/>
      <c r="O84" s="490"/>
    </row>
    <row r="85" spans="1:17" ht="18.75">
      <c r="B85" s="449"/>
      <c r="C85" s="6" t="s">
        <v>86</v>
      </c>
      <c r="D85" s="47"/>
      <c r="E85" s="3"/>
      <c r="F85" s="3"/>
      <c r="G85" s="3"/>
      <c r="H85" s="3"/>
      <c r="I85" s="490"/>
      <c r="J85" s="490"/>
      <c r="K85" s="503"/>
      <c r="L85" s="490"/>
      <c r="M85" s="490"/>
      <c r="N85" s="490"/>
      <c r="O85" s="490"/>
    </row>
    <row r="86" spans="1:17" ht="15.75" thickBot="1">
      <c r="C86" s="132"/>
      <c r="D86" s="47"/>
      <c r="E86" s="3"/>
      <c r="F86" s="3"/>
      <c r="G86" s="3"/>
      <c r="H86" s="3"/>
      <c r="I86" s="490"/>
      <c r="J86" s="490"/>
      <c r="K86" s="503"/>
      <c r="L86" s="490"/>
      <c r="M86" s="490"/>
      <c r="N86" s="490"/>
      <c r="O86" s="490"/>
    </row>
    <row r="87" spans="1:17" ht="15.75">
      <c r="C87" s="451" t="s">
        <v>87</v>
      </c>
      <c r="D87" s="47"/>
      <c r="E87" s="3"/>
      <c r="F87" s="3"/>
      <c r="G87" s="3"/>
      <c r="H87" s="566"/>
      <c r="I87" s="3" t="s">
        <v>66</v>
      </c>
      <c r="J87" s="3"/>
      <c r="K87" s="3"/>
      <c r="L87" s="593">
        <f>+J93</f>
        <v>2016</v>
      </c>
      <c r="M87" s="576" t="s">
        <v>45</v>
      </c>
      <c r="N87" s="576" t="s">
        <v>46</v>
      </c>
      <c r="O87" s="577" t="s">
        <v>47</v>
      </c>
    </row>
    <row r="88" spans="1:17" ht="15.75">
      <c r="C88" s="451"/>
      <c r="D88" s="47"/>
      <c r="E88" s="3"/>
      <c r="F88" s="3"/>
      <c r="H88" s="3"/>
      <c r="I88" s="513"/>
      <c r="J88" s="513"/>
      <c r="K88" s="514"/>
      <c r="L88" s="594" t="s">
        <v>235</v>
      </c>
      <c r="M88" s="595" t="e">
        <f>VLOOKUP(J93,C100:P159,10)</f>
        <v>#N/A</v>
      </c>
      <c r="N88" s="595" t="e">
        <f>VLOOKUP(J93,C100:P159,12)</f>
        <v>#N/A</v>
      </c>
      <c r="O88" s="596" t="e">
        <f>+N88-M88</f>
        <v>#N/A</v>
      </c>
    </row>
    <row r="89" spans="1:17">
      <c r="C89" s="518" t="s">
        <v>88</v>
      </c>
      <c r="D89" s="1185"/>
      <c r="E89" s="1185"/>
      <c r="F89" s="1185"/>
      <c r="G89" s="1185"/>
      <c r="H89" s="1185"/>
      <c r="I89" s="1185"/>
      <c r="J89" s="490"/>
      <c r="K89" s="503"/>
      <c r="L89" s="594" t="s">
        <v>236</v>
      </c>
      <c r="M89" s="597" t="e">
        <f>VLOOKUP(J93,C100:P159,6)</f>
        <v>#N/A</v>
      </c>
      <c r="N89" s="597" t="e">
        <f>VLOOKUP(J93,C100:P159,7)</f>
        <v>#N/A</v>
      </c>
      <c r="O89" s="598" t="e">
        <f>+N89-M89</f>
        <v>#N/A</v>
      </c>
    </row>
    <row r="90" spans="1:17" ht="13.5" thickBot="1">
      <c r="C90" s="522"/>
      <c r="D90" s="523"/>
      <c r="E90" s="506"/>
      <c r="F90" s="506"/>
      <c r="G90" s="506"/>
      <c r="H90" s="524"/>
      <c r="I90" s="490"/>
      <c r="J90" s="490"/>
      <c r="K90" s="503"/>
      <c r="L90" s="533" t="s">
        <v>237</v>
      </c>
      <c r="M90" s="599" t="e">
        <f>+M89-M88</f>
        <v>#N/A</v>
      </c>
      <c r="N90" s="599" t="e">
        <f>+N89-N88</f>
        <v>#N/A</v>
      </c>
      <c r="O90" s="600" t="e">
        <f>+O89-O88</f>
        <v>#N/A</v>
      </c>
    </row>
    <row r="91" spans="1:17" ht="13.5" thickBot="1">
      <c r="C91" s="522"/>
      <c r="D91" s="3"/>
      <c r="E91" s="524"/>
      <c r="F91" s="524"/>
      <c r="G91" s="524"/>
      <c r="H91" s="524"/>
      <c r="I91" s="524"/>
      <c r="J91" s="524"/>
      <c r="K91" s="524"/>
      <c r="L91" s="524"/>
      <c r="M91" s="524"/>
      <c r="N91" s="524"/>
      <c r="O91" s="524"/>
    </row>
    <row r="92" spans="1:17" ht="13.5" thickBot="1">
      <c r="C92" s="525" t="s">
        <v>89</v>
      </c>
      <c r="D92" s="526"/>
      <c r="E92" s="526"/>
      <c r="F92" s="526"/>
      <c r="G92" s="526"/>
      <c r="H92" s="526"/>
      <c r="I92" s="526"/>
      <c r="J92" s="526"/>
    </row>
    <row r="93" spans="1:17" ht="15">
      <c r="C93" s="528" t="s">
        <v>67</v>
      </c>
      <c r="D93" s="568"/>
      <c r="E93" s="3" t="s">
        <v>68</v>
      </c>
      <c r="H93" s="47"/>
      <c r="I93" s="47"/>
      <c r="J93" s="529">
        <v>2016</v>
      </c>
      <c r="K93" s="70"/>
      <c r="L93" s="1187" t="s">
        <v>69</v>
      </c>
      <c r="M93" s="1187"/>
      <c r="N93" s="1187"/>
      <c r="O93" s="1187"/>
    </row>
    <row r="94" spans="1:17">
      <c r="C94" s="528" t="s">
        <v>70</v>
      </c>
      <c r="D94" s="569"/>
      <c r="E94" s="528" t="s">
        <v>71</v>
      </c>
      <c r="F94" s="47"/>
      <c r="G94" s="47"/>
      <c r="I94"/>
      <c r="J94" s="570">
        <f>IF(H87="",0,$F$17)</f>
        <v>0</v>
      </c>
      <c r="K94" s="530"/>
      <c r="L94" s="503" t="s">
        <v>277</v>
      </c>
    </row>
    <row r="95" spans="1:17">
      <c r="C95" s="528" t="s">
        <v>72</v>
      </c>
      <c r="D95" s="568"/>
      <c r="E95" s="528" t="s">
        <v>73</v>
      </c>
      <c r="F95" s="47"/>
      <c r="G95" s="47"/>
      <c r="I95"/>
      <c r="J95" s="531">
        <f>$F$70</f>
        <v>0.12634847140798422</v>
      </c>
      <c r="K95" s="489"/>
      <c r="L95" s="3" t="str">
        <f>"          INPUT TRUE-UP ARR (WITH &amp; WITHOUT INCENTIVES) FROM EACH PRIOR YEAR"</f>
        <v xml:space="preserve">          INPUT TRUE-UP ARR (WITH &amp; WITHOUT INCENTIVES) FROM EACH PRIOR YEAR</v>
      </c>
    </row>
    <row r="96" spans="1:17">
      <c r="C96" s="528" t="s">
        <v>74</v>
      </c>
      <c r="D96" s="532">
        <f>H$79</f>
        <v>36</v>
      </c>
      <c r="E96" s="528" t="s">
        <v>75</v>
      </c>
      <c r="F96" s="47"/>
      <c r="G96" s="47"/>
      <c r="I96"/>
      <c r="J96" s="531">
        <f>IF(H87="",+J95,$F$69)</f>
        <v>0.12634847140798422</v>
      </c>
      <c r="K96" s="489"/>
      <c r="L96" s="3" t="s">
        <v>157</v>
      </c>
      <c r="M96" s="489"/>
      <c r="N96" s="489"/>
      <c r="O96" s="489"/>
    </row>
    <row r="97" spans="2:16" ht="13.5" thickBot="1">
      <c r="C97" s="528" t="s">
        <v>76</v>
      </c>
      <c r="D97" s="567"/>
      <c r="E97" s="533" t="s">
        <v>77</v>
      </c>
      <c r="F97" s="534"/>
      <c r="G97" s="534"/>
      <c r="H97" s="535"/>
      <c r="I97" s="535"/>
      <c r="J97" s="521">
        <f>IF(D93=0,0,D93/D96)</f>
        <v>0</v>
      </c>
      <c r="K97" s="503"/>
      <c r="L97" s="503" t="s">
        <v>158</v>
      </c>
      <c r="M97" s="503"/>
      <c r="N97" s="503"/>
      <c r="O97" s="503"/>
    </row>
    <row r="98" spans="2:16" ht="38.25">
      <c r="B98" s="450"/>
      <c r="C98" s="536" t="s">
        <v>67</v>
      </c>
      <c r="D98" s="537" t="s">
        <v>78</v>
      </c>
      <c r="E98" s="538" t="s">
        <v>79</v>
      </c>
      <c r="F98" s="537" t="s">
        <v>80</v>
      </c>
      <c r="G98" s="537" t="s">
        <v>238</v>
      </c>
      <c r="H98" s="538" t="s">
        <v>151</v>
      </c>
      <c r="I98" s="539" t="s">
        <v>151</v>
      </c>
      <c r="J98" s="536" t="s">
        <v>90</v>
      </c>
      <c r="K98" s="540"/>
      <c r="L98" s="538" t="s">
        <v>153</v>
      </c>
      <c r="M98" s="538" t="s">
        <v>159</v>
      </c>
      <c r="N98" s="538" t="s">
        <v>153</v>
      </c>
      <c r="O98" s="538" t="s">
        <v>161</v>
      </c>
      <c r="P98" s="538" t="s">
        <v>81</v>
      </c>
    </row>
    <row r="99" spans="2:16" ht="13.5" thickBot="1">
      <c r="C99" s="542" t="s">
        <v>467</v>
      </c>
      <c r="D99" s="543" t="s">
        <v>468</v>
      </c>
      <c r="E99" s="542" t="s">
        <v>361</v>
      </c>
      <c r="F99" s="543" t="s">
        <v>468</v>
      </c>
      <c r="G99" s="543" t="s">
        <v>468</v>
      </c>
      <c r="H99" s="544" t="s">
        <v>93</v>
      </c>
      <c r="I99" s="545" t="s">
        <v>95</v>
      </c>
      <c r="J99" s="542" t="s">
        <v>15</v>
      </c>
      <c r="K99" s="546"/>
      <c r="L99" s="544" t="s">
        <v>82</v>
      </c>
      <c r="M99" s="544" t="s">
        <v>82</v>
      </c>
      <c r="N99" s="544" t="s">
        <v>255</v>
      </c>
      <c r="O99" s="544" t="s">
        <v>255</v>
      </c>
      <c r="P99" s="544" t="s">
        <v>255</v>
      </c>
    </row>
    <row r="100" spans="2:16">
      <c r="C100" s="548" t="str">
        <f>IF(D94= "","-",D94)</f>
        <v>-</v>
      </c>
      <c r="D100" s="506">
        <f>+D93</f>
        <v>0</v>
      </c>
      <c r="E100" s="554">
        <f>+J97/12*(12-D95)</f>
        <v>0</v>
      </c>
      <c r="F100" s="601">
        <f t="shared" ref="F100:F159" si="0">+D100-E100</f>
        <v>0</v>
      </c>
      <c r="G100" s="506">
        <f>+(D100+F100)/2</f>
        <v>0</v>
      </c>
      <c r="H100" s="550">
        <f>+J95*G100+E100</f>
        <v>0</v>
      </c>
      <c r="I100" s="551">
        <f>+J96*G100+E100</f>
        <v>0</v>
      </c>
      <c r="J100" s="552">
        <f>+I100-H100</f>
        <v>0</v>
      </c>
      <c r="K100" s="552"/>
      <c r="L100" s="571"/>
      <c r="M100" s="602">
        <f t="shared" ref="M100:M159" si="1">IF(L100&lt;&gt;0,+H100-L100,0)</f>
        <v>0</v>
      </c>
      <c r="N100" s="571"/>
      <c r="O100" s="602">
        <f t="shared" ref="O100:O159" si="2">IF(N100&lt;&gt;0,+I100-N100,0)</f>
        <v>0</v>
      </c>
      <c r="P100" s="602">
        <f t="shared" ref="P100:P159" si="3">+O100-M100</f>
        <v>0</v>
      </c>
    </row>
    <row r="101" spans="2:16">
      <c r="C101" s="548" t="str">
        <f>IF(D94="","-",+C100+1)</f>
        <v>-</v>
      </c>
      <c r="D101" s="506">
        <f t="shared" ref="D101:D159" si="4">F100</f>
        <v>0</v>
      </c>
      <c r="E101" s="549">
        <f>IF(D101&gt;$J$97,$J$97,D101)</f>
        <v>0</v>
      </c>
      <c r="F101" s="549">
        <f t="shared" si="0"/>
        <v>0</v>
      </c>
      <c r="G101" s="506">
        <f t="shared" ref="G101:G159" si="5">+(D101+F101)/2</f>
        <v>0</v>
      </c>
      <c r="H101" s="554">
        <f>+J95*G101+E101</f>
        <v>0</v>
      </c>
      <c r="I101" s="555">
        <f>+J96*G101+E101</f>
        <v>0</v>
      </c>
      <c r="J101" s="552">
        <f>+I101-H101</f>
        <v>0</v>
      </c>
      <c r="K101" s="552"/>
      <c r="L101" s="572"/>
      <c r="M101" s="552">
        <f t="shared" si="1"/>
        <v>0</v>
      </c>
      <c r="N101" s="572"/>
      <c r="O101" s="552">
        <f t="shared" si="2"/>
        <v>0</v>
      </c>
      <c r="P101" s="552">
        <f t="shared" si="3"/>
        <v>0</v>
      </c>
    </row>
    <row r="102" spans="2:16">
      <c r="C102" s="548" t="str">
        <f>IF(D94="","-",+C101+1)</f>
        <v>-</v>
      </c>
      <c r="D102" s="506">
        <f t="shared" si="4"/>
        <v>0</v>
      </c>
      <c r="E102" s="549">
        <f t="shared" ref="E102:E159" si="6">IF(D102&gt;$J$97,$J$97,D102)</f>
        <v>0</v>
      </c>
      <c r="F102" s="549">
        <f t="shared" si="0"/>
        <v>0</v>
      </c>
      <c r="G102" s="506">
        <f t="shared" si="5"/>
        <v>0</v>
      </c>
      <c r="H102" s="554">
        <f>+J95*G102+E102</f>
        <v>0</v>
      </c>
      <c r="I102" s="555">
        <f>+J96*G102+E102</f>
        <v>0</v>
      </c>
      <c r="J102" s="552">
        <f t="shared" ref="J102:J159" si="7">+I102-H102</f>
        <v>0</v>
      </c>
      <c r="K102" s="552"/>
      <c r="L102" s="572"/>
      <c r="M102" s="552">
        <f t="shared" si="1"/>
        <v>0</v>
      </c>
      <c r="N102" s="572"/>
      <c r="O102" s="552">
        <f t="shared" si="2"/>
        <v>0</v>
      </c>
      <c r="P102" s="552">
        <f t="shared" si="3"/>
        <v>0</v>
      </c>
    </row>
    <row r="103" spans="2:16">
      <c r="C103" s="548" t="str">
        <f>IF(D94="","-",+C102+1)</f>
        <v>-</v>
      </c>
      <c r="D103" s="506">
        <f t="shared" si="4"/>
        <v>0</v>
      </c>
      <c r="E103" s="549">
        <f t="shared" si="6"/>
        <v>0</v>
      </c>
      <c r="F103" s="549">
        <f t="shared" si="0"/>
        <v>0</v>
      </c>
      <c r="G103" s="506">
        <f t="shared" si="5"/>
        <v>0</v>
      </c>
      <c r="H103" s="554">
        <f>+J95*G103+E103</f>
        <v>0</v>
      </c>
      <c r="I103" s="555">
        <f>+J96*G103+E103</f>
        <v>0</v>
      </c>
      <c r="J103" s="552">
        <f t="shared" si="7"/>
        <v>0</v>
      </c>
      <c r="K103" s="552"/>
      <c r="L103" s="572"/>
      <c r="M103" s="552">
        <f t="shared" si="1"/>
        <v>0</v>
      </c>
      <c r="N103" s="572"/>
      <c r="O103" s="552">
        <f t="shared" si="2"/>
        <v>0</v>
      </c>
      <c r="P103" s="552">
        <f t="shared" si="3"/>
        <v>0</v>
      </c>
    </row>
    <row r="104" spans="2:16">
      <c r="C104" s="548" t="str">
        <f>IF(D94="","-",+C103+1)</f>
        <v>-</v>
      </c>
      <c r="D104" s="506">
        <f t="shared" si="4"/>
        <v>0</v>
      </c>
      <c r="E104" s="549">
        <f t="shared" si="6"/>
        <v>0</v>
      </c>
      <c r="F104" s="549">
        <f t="shared" si="0"/>
        <v>0</v>
      </c>
      <c r="G104" s="506">
        <f t="shared" si="5"/>
        <v>0</v>
      </c>
      <c r="H104" s="554">
        <f>+J95*G104+E104</f>
        <v>0</v>
      </c>
      <c r="I104" s="555">
        <f>+J96*G104+E104</f>
        <v>0</v>
      </c>
      <c r="J104" s="552">
        <f t="shared" si="7"/>
        <v>0</v>
      </c>
      <c r="K104" s="552"/>
      <c r="L104" s="572"/>
      <c r="M104" s="552">
        <f t="shared" si="1"/>
        <v>0</v>
      </c>
      <c r="N104" s="572"/>
      <c r="O104" s="552">
        <f t="shared" si="2"/>
        <v>0</v>
      </c>
      <c r="P104" s="552">
        <f t="shared" si="3"/>
        <v>0</v>
      </c>
    </row>
    <row r="105" spans="2:16">
      <c r="C105" s="548" t="str">
        <f>IF(D94="","-",+C104+1)</f>
        <v>-</v>
      </c>
      <c r="D105" s="506">
        <f t="shared" si="4"/>
        <v>0</v>
      </c>
      <c r="E105" s="549">
        <f t="shared" si="6"/>
        <v>0</v>
      </c>
      <c r="F105" s="549">
        <f t="shared" si="0"/>
        <v>0</v>
      </c>
      <c r="G105" s="506">
        <f t="shared" si="5"/>
        <v>0</v>
      </c>
      <c r="H105" s="554">
        <f>+J95*G105+E105</f>
        <v>0</v>
      </c>
      <c r="I105" s="555">
        <f>+J96*G105+E105</f>
        <v>0</v>
      </c>
      <c r="J105" s="552">
        <f t="shared" si="7"/>
        <v>0</v>
      </c>
      <c r="K105" s="552"/>
      <c r="L105" s="572"/>
      <c r="M105" s="552">
        <f t="shared" si="1"/>
        <v>0</v>
      </c>
      <c r="N105" s="572"/>
      <c r="O105" s="552">
        <f t="shared" si="2"/>
        <v>0</v>
      </c>
      <c r="P105" s="552">
        <f t="shared" si="3"/>
        <v>0</v>
      </c>
    </row>
    <row r="106" spans="2:16">
      <c r="C106" s="548" t="str">
        <f>IF(D94="","-",+C105+1)</f>
        <v>-</v>
      </c>
      <c r="D106" s="506">
        <f t="shared" si="4"/>
        <v>0</v>
      </c>
      <c r="E106" s="549">
        <f t="shared" si="6"/>
        <v>0</v>
      </c>
      <c r="F106" s="549">
        <f t="shared" si="0"/>
        <v>0</v>
      </c>
      <c r="G106" s="506">
        <f t="shared" si="5"/>
        <v>0</v>
      </c>
      <c r="H106" s="554">
        <f>+J95*G106+E106</f>
        <v>0</v>
      </c>
      <c r="I106" s="555">
        <f>+J96*G106+E106</f>
        <v>0</v>
      </c>
      <c r="J106" s="552">
        <f t="shared" si="7"/>
        <v>0</v>
      </c>
      <c r="K106" s="552"/>
      <c r="L106" s="572"/>
      <c r="M106" s="552">
        <f t="shared" si="1"/>
        <v>0</v>
      </c>
      <c r="N106" s="572"/>
      <c r="O106" s="552">
        <f t="shared" si="2"/>
        <v>0</v>
      </c>
      <c r="P106" s="552">
        <f t="shared" si="3"/>
        <v>0</v>
      </c>
    </row>
    <row r="107" spans="2:16">
      <c r="C107" s="548" t="str">
        <f>IF(D94="","-",+C106+1)</f>
        <v>-</v>
      </c>
      <c r="D107" s="506">
        <f t="shared" si="4"/>
        <v>0</v>
      </c>
      <c r="E107" s="549">
        <f t="shared" si="6"/>
        <v>0</v>
      </c>
      <c r="F107" s="549">
        <f t="shared" si="0"/>
        <v>0</v>
      </c>
      <c r="G107" s="506">
        <f t="shared" si="5"/>
        <v>0</v>
      </c>
      <c r="H107" s="554">
        <f>+J95*G107+E107</f>
        <v>0</v>
      </c>
      <c r="I107" s="555">
        <f>+J96*G107+E107</f>
        <v>0</v>
      </c>
      <c r="J107" s="552">
        <f t="shared" si="7"/>
        <v>0</v>
      </c>
      <c r="K107" s="552"/>
      <c r="L107" s="572"/>
      <c r="M107" s="552">
        <f t="shared" si="1"/>
        <v>0</v>
      </c>
      <c r="N107" s="572"/>
      <c r="O107" s="552">
        <f t="shared" si="2"/>
        <v>0</v>
      </c>
      <c r="P107" s="552">
        <f t="shared" si="3"/>
        <v>0</v>
      </c>
    </row>
    <row r="108" spans="2:16">
      <c r="C108" s="548" t="str">
        <f>IF(D94="","-",+C107+1)</f>
        <v>-</v>
      </c>
      <c r="D108" s="506">
        <f t="shared" si="4"/>
        <v>0</v>
      </c>
      <c r="E108" s="549">
        <f t="shared" si="6"/>
        <v>0</v>
      </c>
      <c r="F108" s="549">
        <f t="shared" si="0"/>
        <v>0</v>
      </c>
      <c r="G108" s="506">
        <f t="shared" si="5"/>
        <v>0</v>
      </c>
      <c r="H108" s="554">
        <f>+J95*G108+E108</f>
        <v>0</v>
      </c>
      <c r="I108" s="555">
        <f>+J96*G108+E108</f>
        <v>0</v>
      </c>
      <c r="J108" s="552">
        <f t="shared" si="7"/>
        <v>0</v>
      </c>
      <c r="K108" s="552"/>
      <c r="L108" s="572"/>
      <c r="M108" s="552">
        <f t="shared" si="1"/>
        <v>0</v>
      </c>
      <c r="N108" s="572"/>
      <c r="O108" s="552">
        <f t="shared" si="2"/>
        <v>0</v>
      </c>
      <c r="P108" s="552">
        <f t="shared" si="3"/>
        <v>0</v>
      </c>
    </row>
    <row r="109" spans="2:16">
      <c r="C109" s="548" t="str">
        <f>IF(D94="","-",+C108+1)</f>
        <v>-</v>
      </c>
      <c r="D109" s="506">
        <f t="shared" si="4"/>
        <v>0</v>
      </c>
      <c r="E109" s="549">
        <f t="shared" si="6"/>
        <v>0</v>
      </c>
      <c r="F109" s="549">
        <f t="shared" si="0"/>
        <v>0</v>
      </c>
      <c r="G109" s="506">
        <f t="shared" si="5"/>
        <v>0</v>
      </c>
      <c r="H109" s="554">
        <f>+J95*G109+E109</f>
        <v>0</v>
      </c>
      <c r="I109" s="555">
        <f>+J96*G109+E109</f>
        <v>0</v>
      </c>
      <c r="J109" s="552">
        <f t="shared" si="7"/>
        <v>0</v>
      </c>
      <c r="K109" s="552"/>
      <c r="L109" s="572"/>
      <c r="M109" s="552">
        <f t="shared" si="1"/>
        <v>0</v>
      </c>
      <c r="N109" s="572"/>
      <c r="O109" s="552">
        <f t="shared" si="2"/>
        <v>0</v>
      </c>
      <c r="P109" s="552">
        <f t="shared" si="3"/>
        <v>0</v>
      </c>
    </row>
    <row r="110" spans="2:16">
      <c r="C110" s="548" t="str">
        <f>IF(D94="","-",+C109+1)</f>
        <v>-</v>
      </c>
      <c r="D110" s="506">
        <f t="shared" si="4"/>
        <v>0</v>
      </c>
      <c r="E110" s="549">
        <f t="shared" si="6"/>
        <v>0</v>
      </c>
      <c r="F110" s="549">
        <f t="shared" si="0"/>
        <v>0</v>
      </c>
      <c r="G110" s="506">
        <f t="shared" si="5"/>
        <v>0</v>
      </c>
      <c r="H110" s="554">
        <f>+J95*G110+E110</f>
        <v>0</v>
      </c>
      <c r="I110" s="555">
        <f>+J96*G110+E110</f>
        <v>0</v>
      </c>
      <c r="J110" s="552">
        <f t="shared" si="7"/>
        <v>0</v>
      </c>
      <c r="K110" s="552"/>
      <c r="L110" s="572"/>
      <c r="M110" s="552">
        <f t="shared" si="1"/>
        <v>0</v>
      </c>
      <c r="N110" s="572"/>
      <c r="O110" s="552">
        <f t="shared" si="2"/>
        <v>0</v>
      </c>
      <c r="P110" s="552">
        <f t="shared" si="3"/>
        <v>0</v>
      </c>
    </row>
    <row r="111" spans="2:16">
      <c r="C111" s="548" t="str">
        <f>IF(D94="","-",+C110+1)</f>
        <v>-</v>
      </c>
      <c r="D111" s="506">
        <f t="shared" si="4"/>
        <v>0</v>
      </c>
      <c r="E111" s="549">
        <f t="shared" si="6"/>
        <v>0</v>
      </c>
      <c r="F111" s="549">
        <f t="shared" si="0"/>
        <v>0</v>
      </c>
      <c r="G111" s="506">
        <f t="shared" si="5"/>
        <v>0</v>
      </c>
      <c r="H111" s="554">
        <f>+J95*G111+E111</f>
        <v>0</v>
      </c>
      <c r="I111" s="555">
        <f>+J96*G111+E111</f>
        <v>0</v>
      </c>
      <c r="J111" s="552">
        <f t="shared" si="7"/>
        <v>0</v>
      </c>
      <c r="K111" s="552"/>
      <c r="L111" s="572"/>
      <c r="M111" s="552">
        <f t="shared" si="1"/>
        <v>0</v>
      </c>
      <c r="N111" s="572"/>
      <c r="O111" s="552">
        <f t="shared" si="2"/>
        <v>0</v>
      </c>
      <c r="P111" s="552">
        <f t="shared" si="3"/>
        <v>0</v>
      </c>
    </row>
    <row r="112" spans="2:16">
      <c r="C112" s="548" t="str">
        <f>IF(D94="","-",+C111+1)</f>
        <v>-</v>
      </c>
      <c r="D112" s="506">
        <f t="shared" si="4"/>
        <v>0</v>
      </c>
      <c r="E112" s="549">
        <f t="shared" si="6"/>
        <v>0</v>
      </c>
      <c r="F112" s="549">
        <f t="shared" si="0"/>
        <v>0</v>
      </c>
      <c r="G112" s="506">
        <f t="shared" si="5"/>
        <v>0</v>
      </c>
      <c r="H112" s="554">
        <f>+J95*G112+E112</f>
        <v>0</v>
      </c>
      <c r="I112" s="555">
        <f>+J96*G112+E112</f>
        <v>0</v>
      </c>
      <c r="J112" s="552">
        <f t="shared" si="7"/>
        <v>0</v>
      </c>
      <c r="K112" s="552"/>
      <c r="L112" s="572"/>
      <c r="M112" s="552">
        <f t="shared" si="1"/>
        <v>0</v>
      </c>
      <c r="N112" s="572"/>
      <c r="O112" s="552">
        <f t="shared" si="2"/>
        <v>0</v>
      </c>
      <c r="P112" s="552">
        <f t="shared" si="3"/>
        <v>0</v>
      </c>
    </row>
    <row r="113" spans="3:16">
      <c r="C113" s="548" t="str">
        <f>IF(D94="","-",+C112+1)</f>
        <v>-</v>
      </c>
      <c r="D113" s="506">
        <f t="shared" si="4"/>
        <v>0</v>
      </c>
      <c r="E113" s="549">
        <f t="shared" si="6"/>
        <v>0</v>
      </c>
      <c r="F113" s="549">
        <f t="shared" si="0"/>
        <v>0</v>
      </c>
      <c r="G113" s="506">
        <f t="shared" si="5"/>
        <v>0</v>
      </c>
      <c r="H113" s="554">
        <f>+J95*G113+E113</f>
        <v>0</v>
      </c>
      <c r="I113" s="555">
        <f>+J96*G113+E113</f>
        <v>0</v>
      </c>
      <c r="J113" s="552">
        <f t="shared" si="7"/>
        <v>0</v>
      </c>
      <c r="K113" s="552"/>
      <c r="L113" s="572"/>
      <c r="M113" s="552">
        <f t="shared" si="1"/>
        <v>0</v>
      </c>
      <c r="N113" s="572"/>
      <c r="O113" s="552">
        <f t="shared" si="2"/>
        <v>0</v>
      </c>
      <c r="P113" s="552">
        <f t="shared" si="3"/>
        <v>0</v>
      </c>
    </row>
    <row r="114" spans="3:16">
      <c r="C114" s="548" t="str">
        <f>IF(D94="","-",+C113+1)</f>
        <v>-</v>
      </c>
      <c r="D114" s="506">
        <f t="shared" si="4"/>
        <v>0</v>
      </c>
      <c r="E114" s="549">
        <f t="shared" si="6"/>
        <v>0</v>
      </c>
      <c r="F114" s="549">
        <f t="shared" si="0"/>
        <v>0</v>
      </c>
      <c r="G114" s="506">
        <f t="shared" si="5"/>
        <v>0</v>
      </c>
      <c r="H114" s="554">
        <f>+J95*G114+E114</f>
        <v>0</v>
      </c>
      <c r="I114" s="555">
        <f>+J96*G114+E114</f>
        <v>0</v>
      </c>
      <c r="J114" s="552">
        <f t="shared" si="7"/>
        <v>0</v>
      </c>
      <c r="K114" s="552"/>
      <c r="L114" s="572"/>
      <c r="M114" s="552">
        <f t="shared" si="1"/>
        <v>0</v>
      </c>
      <c r="N114" s="572"/>
      <c r="O114" s="552">
        <f t="shared" si="2"/>
        <v>0</v>
      </c>
      <c r="P114" s="552">
        <f t="shared" si="3"/>
        <v>0</v>
      </c>
    </row>
    <row r="115" spans="3:16">
      <c r="C115" s="548" t="str">
        <f>IF(D94="","-",+C114+1)</f>
        <v>-</v>
      </c>
      <c r="D115" s="506">
        <f t="shared" si="4"/>
        <v>0</v>
      </c>
      <c r="E115" s="549">
        <f t="shared" si="6"/>
        <v>0</v>
      </c>
      <c r="F115" s="549">
        <f t="shared" si="0"/>
        <v>0</v>
      </c>
      <c r="G115" s="506">
        <f t="shared" si="5"/>
        <v>0</v>
      </c>
      <c r="H115" s="554">
        <f>+J95*G115+E115</f>
        <v>0</v>
      </c>
      <c r="I115" s="555">
        <f>+J96*G115+E115</f>
        <v>0</v>
      </c>
      <c r="J115" s="552">
        <f t="shared" si="7"/>
        <v>0</v>
      </c>
      <c r="K115" s="552"/>
      <c r="L115" s="572"/>
      <c r="M115" s="552">
        <f t="shared" si="1"/>
        <v>0</v>
      </c>
      <c r="N115" s="572"/>
      <c r="O115" s="552">
        <f t="shared" si="2"/>
        <v>0</v>
      </c>
      <c r="P115" s="552">
        <f t="shared" si="3"/>
        <v>0</v>
      </c>
    </row>
    <row r="116" spans="3:16">
      <c r="C116" s="548" t="str">
        <f>IF(D94="","-",+C115+1)</f>
        <v>-</v>
      </c>
      <c r="D116" s="506">
        <f t="shared" si="4"/>
        <v>0</v>
      </c>
      <c r="E116" s="549">
        <f t="shared" si="6"/>
        <v>0</v>
      </c>
      <c r="F116" s="549">
        <f t="shared" si="0"/>
        <v>0</v>
      </c>
      <c r="G116" s="506">
        <f t="shared" si="5"/>
        <v>0</v>
      </c>
      <c r="H116" s="554">
        <f>+J95*G116+E116</f>
        <v>0</v>
      </c>
      <c r="I116" s="555">
        <f>+J96*G116+E116</f>
        <v>0</v>
      </c>
      <c r="J116" s="552">
        <f t="shared" si="7"/>
        <v>0</v>
      </c>
      <c r="K116" s="552"/>
      <c r="L116" s="572"/>
      <c r="M116" s="552">
        <f t="shared" si="1"/>
        <v>0</v>
      </c>
      <c r="N116" s="572"/>
      <c r="O116" s="552">
        <f t="shared" si="2"/>
        <v>0</v>
      </c>
      <c r="P116" s="552">
        <f t="shared" si="3"/>
        <v>0</v>
      </c>
    </row>
    <row r="117" spans="3:16">
      <c r="C117" s="548" t="str">
        <f>IF(D94="","-",+C116+1)</f>
        <v>-</v>
      </c>
      <c r="D117" s="506">
        <f t="shared" si="4"/>
        <v>0</v>
      </c>
      <c r="E117" s="549">
        <f t="shared" si="6"/>
        <v>0</v>
      </c>
      <c r="F117" s="549">
        <f t="shared" si="0"/>
        <v>0</v>
      </c>
      <c r="G117" s="506">
        <f t="shared" si="5"/>
        <v>0</v>
      </c>
      <c r="H117" s="554">
        <f>+J95*G117+E117</f>
        <v>0</v>
      </c>
      <c r="I117" s="555">
        <f>+J96*G117+E117</f>
        <v>0</v>
      </c>
      <c r="J117" s="552">
        <f t="shared" si="7"/>
        <v>0</v>
      </c>
      <c r="K117" s="552"/>
      <c r="L117" s="572"/>
      <c r="M117" s="552">
        <f t="shared" si="1"/>
        <v>0</v>
      </c>
      <c r="N117" s="572"/>
      <c r="O117" s="552">
        <f t="shared" si="2"/>
        <v>0</v>
      </c>
      <c r="P117" s="552">
        <f t="shared" si="3"/>
        <v>0</v>
      </c>
    </row>
    <row r="118" spans="3:16">
      <c r="C118" s="548" t="str">
        <f>IF(D94="","-",+C117+1)</f>
        <v>-</v>
      </c>
      <c r="D118" s="506">
        <f t="shared" si="4"/>
        <v>0</v>
      </c>
      <c r="E118" s="549">
        <f t="shared" si="6"/>
        <v>0</v>
      </c>
      <c r="F118" s="549">
        <f t="shared" si="0"/>
        <v>0</v>
      </c>
      <c r="G118" s="506">
        <f t="shared" si="5"/>
        <v>0</v>
      </c>
      <c r="H118" s="554">
        <f>+J95*G118+E118</f>
        <v>0</v>
      </c>
      <c r="I118" s="555">
        <f>+J96*G118+E118</f>
        <v>0</v>
      </c>
      <c r="J118" s="552">
        <f t="shared" si="7"/>
        <v>0</v>
      </c>
      <c r="K118" s="552"/>
      <c r="L118" s="572"/>
      <c r="M118" s="552">
        <f t="shared" si="1"/>
        <v>0</v>
      </c>
      <c r="N118" s="572"/>
      <c r="O118" s="552">
        <f t="shared" si="2"/>
        <v>0</v>
      </c>
      <c r="P118" s="552">
        <f t="shared" si="3"/>
        <v>0</v>
      </c>
    </row>
    <row r="119" spans="3:16">
      <c r="C119" s="548" t="str">
        <f>IF(D94="","-",+C118+1)</f>
        <v>-</v>
      </c>
      <c r="D119" s="506">
        <f t="shared" si="4"/>
        <v>0</v>
      </c>
      <c r="E119" s="549">
        <f t="shared" si="6"/>
        <v>0</v>
      </c>
      <c r="F119" s="549">
        <f t="shared" si="0"/>
        <v>0</v>
      </c>
      <c r="G119" s="506">
        <f t="shared" si="5"/>
        <v>0</v>
      </c>
      <c r="H119" s="554">
        <f>+J95*G119+E119</f>
        <v>0</v>
      </c>
      <c r="I119" s="555">
        <f>+J96*G119+E119</f>
        <v>0</v>
      </c>
      <c r="J119" s="552">
        <f t="shared" si="7"/>
        <v>0</v>
      </c>
      <c r="K119" s="552"/>
      <c r="L119" s="572"/>
      <c r="M119" s="552">
        <f t="shared" si="1"/>
        <v>0</v>
      </c>
      <c r="N119" s="572"/>
      <c r="O119" s="552">
        <f t="shared" si="2"/>
        <v>0</v>
      </c>
      <c r="P119" s="552">
        <f t="shared" si="3"/>
        <v>0</v>
      </c>
    </row>
    <row r="120" spans="3:16">
      <c r="C120" s="548" t="str">
        <f>IF(D94="","-",+C119+1)</f>
        <v>-</v>
      </c>
      <c r="D120" s="506">
        <f t="shared" si="4"/>
        <v>0</v>
      </c>
      <c r="E120" s="549">
        <f t="shared" si="6"/>
        <v>0</v>
      </c>
      <c r="F120" s="549">
        <f t="shared" si="0"/>
        <v>0</v>
      </c>
      <c r="G120" s="506">
        <f t="shared" si="5"/>
        <v>0</v>
      </c>
      <c r="H120" s="554">
        <f>+J95*G120+E120</f>
        <v>0</v>
      </c>
      <c r="I120" s="555">
        <f>+J96*G120+E120</f>
        <v>0</v>
      </c>
      <c r="J120" s="552">
        <f t="shared" si="7"/>
        <v>0</v>
      </c>
      <c r="K120" s="552"/>
      <c r="L120" s="572"/>
      <c r="M120" s="552">
        <f t="shared" si="1"/>
        <v>0</v>
      </c>
      <c r="N120" s="572"/>
      <c r="O120" s="552">
        <f t="shared" si="2"/>
        <v>0</v>
      </c>
      <c r="P120" s="552">
        <f t="shared" si="3"/>
        <v>0</v>
      </c>
    </row>
    <row r="121" spans="3:16">
      <c r="C121" s="548" t="str">
        <f>IF(D94="","-",+C120+1)</f>
        <v>-</v>
      </c>
      <c r="D121" s="506">
        <f t="shared" si="4"/>
        <v>0</v>
      </c>
      <c r="E121" s="549">
        <f t="shared" si="6"/>
        <v>0</v>
      </c>
      <c r="F121" s="549">
        <f t="shared" si="0"/>
        <v>0</v>
      </c>
      <c r="G121" s="506">
        <f t="shared" si="5"/>
        <v>0</v>
      </c>
      <c r="H121" s="554">
        <f>+J95*G121+E121</f>
        <v>0</v>
      </c>
      <c r="I121" s="555">
        <f>+J96*G121+E121</f>
        <v>0</v>
      </c>
      <c r="J121" s="552">
        <f t="shared" si="7"/>
        <v>0</v>
      </c>
      <c r="K121" s="552"/>
      <c r="L121" s="572"/>
      <c r="M121" s="552">
        <f t="shared" si="1"/>
        <v>0</v>
      </c>
      <c r="N121" s="572"/>
      <c r="O121" s="552">
        <f t="shared" si="2"/>
        <v>0</v>
      </c>
      <c r="P121" s="552">
        <f t="shared" si="3"/>
        <v>0</v>
      </c>
    </row>
    <row r="122" spans="3:16">
      <c r="C122" s="548" t="str">
        <f>IF(D94="","-",+C121+1)</f>
        <v>-</v>
      </c>
      <c r="D122" s="506">
        <f t="shared" si="4"/>
        <v>0</v>
      </c>
      <c r="E122" s="549">
        <f t="shared" si="6"/>
        <v>0</v>
      </c>
      <c r="F122" s="549">
        <f t="shared" si="0"/>
        <v>0</v>
      </c>
      <c r="G122" s="506">
        <f t="shared" si="5"/>
        <v>0</v>
      </c>
      <c r="H122" s="554">
        <f>+J95*G122+E122</f>
        <v>0</v>
      </c>
      <c r="I122" s="555">
        <f>+J96*G122+E122</f>
        <v>0</v>
      </c>
      <c r="J122" s="552">
        <f t="shared" si="7"/>
        <v>0</v>
      </c>
      <c r="K122" s="552"/>
      <c r="L122" s="572"/>
      <c r="M122" s="552">
        <f t="shared" si="1"/>
        <v>0</v>
      </c>
      <c r="N122" s="572"/>
      <c r="O122" s="552">
        <f t="shared" si="2"/>
        <v>0</v>
      </c>
      <c r="P122" s="552">
        <f t="shared" si="3"/>
        <v>0</v>
      </c>
    </row>
    <row r="123" spans="3:16">
      <c r="C123" s="548" t="str">
        <f>IF(D94="","-",+C122+1)</f>
        <v>-</v>
      </c>
      <c r="D123" s="506">
        <f t="shared" si="4"/>
        <v>0</v>
      </c>
      <c r="E123" s="549">
        <f t="shared" si="6"/>
        <v>0</v>
      </c>
      <c r="F123" s="549">
        <f t="shared" si="0"/>
        <v>0</v>
      </c>
      <c r="G123" s="506">
        <f t="shared" si="5"/>
        <v>0</v>
      </c>
      <c r="H123" s="554">
        <f>+J95*G123+E123</f>
        <v>0</v>
      </c>
      <c r="I123" s="555">
        <f>+J96*G123+E123</f>
        <v>0</v>
      </c>
      <c r="J123" s="552">
        <f t="shared" si="7"/>
        <v>0</v>
      </c>
      <c r="K123" s="552"/>
      <c r="L123" s="572"/>
      <c r="M123" s="552">
        <f t="shared" si="1"/>
        <v>0</v>
      </c>
      <c r="N123" s="572"/>
      <c r="O123" s="552">
        <f t="shared" si="2"/>
        <v>0</v>
      </c>
      <c r="P123" s="552">
        <f t="shared" si="3"/>
        <v>0</v>
      </c>
    </row>
    <row r="124" spans="3:16">
      <c r="C124" s="548" t="str">
        <f>IF(D94="","-",+C123+1)</f>
        <v>-</v>
      </c>
      <c r="D124" s="506">
        <f t="shared" si="4"/>
        <v>0</v>
      </c>
      <c r="E124" s="549">
        <f t="shared" si="6"/>
        <v>0</v>
      </c>
      <c r="F124" s="549">
        <f t="shared" si="0"/>
        <v>0</v>
      </c>
      <c r="G124" s="506">
        <f t="shared" si="5"/>
        <v>0</v>
      </c>
      <c r="H124" s="554">
        <f>+J95*G124+E124</f>
        <v>0</v>
      </c>
      <c r="I124" s="555">
        <f>+J96*G124+E124</f>
        <v>0</v>
      </c>
      <c r="J124" s="552">
        <f t="shared" si="7"/>
        <v>0</v>
      </c>
      <c r="K124" s="552"/>
      <c r="L124" s="572"/>
      <c r="M124" s="552">
        <f t="shared" si="1"/>
        <v>0</v>
      </c>
      <c r="N124" s="572"/>
      <c r="O124" s="552">
        <f t="shared" si="2"/>
        <v>0</v>
      </c>
      <c r="P124" s="552">
        <f t="shared" si="3"/>
        <v>0</v>
      </c>
    </row>
    <row r="125" spans="3:16">
      <c r="C125" s="548" t="str">
        <f>IF(D94="","-",+C124+1)</f>
        <v>-</v>
      </c>
      <c r="D125" s="506">
        <f t="shared" si="4"/>
        <v>0</v>
      </c>
      <c r="E125" s="549">
        <f t="shared" si="6"/>
        <v>0</v>
      </c>
      <c r="F125" s="549">
        <f t="shared" si="0"/>
        <v>0</v>
      </c>
      <c r="G125" s="506">
        <f t="shared" si="5"/>
        <v>0</v>
      </c>
      <c r="H125" s="554">
        <f>+J95*G125+E125</f>
        <v>0</v>
      </c>
      <c r="I125" s="555">
        <f>+J96*G125+E125</f>
        <v>0</v>
      </c>
      <c r="J125" s="552">
        <f t="shared" si="7"/>
        <v>0</v>
      </c>
      <c r="K125" s="552"/>
      <c r="L125" s="572"/>
      <c r="M125" s="552">
        <f t="shared" si="1"/>
        <v>0</v>
      </c>
      <c r="N125" s="572"/>
      <c r="O125" s="552">
        <f t="shared" si="2"/>
        <v>0</v>
      </c>
      <c r="P125" s="552">
        <f t="shared" si="3"/>
        <v>0</v>
      </c>
    </row>
    <row r="126" spans="3:16">
      <c r="C126" s="548" t="str">
        <f>IF(D94="","-",+C125+1)</f>
        <v>-</v>
      </c>
      <c r="D126" s="506">
        <f t="shared" si="4"/>
        <v>0</v>
      </c>
      <c r="E126" s="549">
        <f t="shared" si="6"/>
        <v>0</v>
      </c>
      <c r="F126" s="549">
        <f t="shared" si="0"/>
        <v>0</v>
      </c>
      <c r="G126" s="506">
        <f t="shared" si="5"/>
        <v>0</v>
      </c>
      <c r="H126" s="554">
        <f>+J95*G126+E126</f>
        <v>0</v>
      </c>
      <c r="I126" s="555">
        <f>+J96*G126+E126</f>
        <v>0</v>
      </c>
      <c r="J126" s="552">
        <f t="shared" si="7"/>
        <v>0</v>
      </c>
      <c r="K126" s="552"/>
      <c r="L126" s="572"/>
      <c r="M126" s="552">
        <f t="shared" si="1"/>
        <v>0</v>
      </c>
      <c r="N126" s="572"/>
      <c r="O126" s="552">
        <f t="shared" si="2"/>
        <v>0</v>
      </c>
      <c r="P126" s="552">
        <f t="shared" si="3"/>
        <v>0</v>
      </c>
    </row>
    <row r="127" spans="3:16">
      <c r="C127" s="548" t="str">
        <f>IF(D94="","-",+C126+1)</f>
        <v>-</v>
      </c>
      <c r="D127" s="506">
        <f t="shared" si="4"/>
        <v>0</v>
      </c>
      <c r="E127" s="549">
        <f t="shared" si="6"/>
        <v>0</v>
      </c>
      <c r="F127" s="549">
        <f t="shared" si="0"/>
        <v>0</v>
      </c>
      <c r="G127" s="506">
        <f t="shared" si="5"/>
        <v>0</v>
      </c>
      <c r="H127" s="554">
        <f>+J95*G127+E127</f>
        <v>0</v>
      </c>
      <c r="I127" s="555">
        <f>+J96*G127+E127</f>
        <v>0</v>
      </c>
      <c r="J127" s="552">
        <f t="shared" si="7"/>
        <v>0</v>
      </c>
      <c r="K127" s="552"/>
      <c r="L127" s="572"/>
      <c r="M127" s="552">
        <f t="shared" si="1"/>
        <v>0</v>
      </c>
      <c r="N127" s="572"/>
      <c r="O127" s="552">
        <f t="shared" si="2"/>
        <v>0</v>
      </c>
      <c r="P127" s="552">
        <f t="shared" si="3"/>
        <v>0</v>
      </c>
    </row>
    <row r="128" spans="3:16">
      <c r="C128" s="548" t="str">
        <f>IF(D94="","-",+C127+1)</f>
        <v>-</v>
      </c>
      <c r="D128" s="506">
        <f t="shared" si="4"/>
        <v>0</v>
      </c>
      <c r="E128" s="549">
        <f t="shared" si="6"/>
        <v>0</v>
      </c>
      <c r="F128" s="549">
        <f t="shared" si="0"/>
        <v>0</v>
      </c>
      <c r="G128" s="506">
        <f t="shared" si="5"/>
        <v>0</v>
      </c>
      <c r="H128" s="554">
        <f>+J95*G128+E128</f>
        <v>0</v>
      </c>
      <c r="I128" s="555">
        <f>+J96*G128+E128</f>
        <v>0</v>
      </c>
      <c r="J128" s="552">
        <f t="shared" si="7"/>
        <v>0</v>
      </c>
      <c r="K128" s="552"/>
      <c r="L128" s="572"/>
      <c r="M128" s="552">
        <f t="shared" si="1"/>
        <v>0</v>
      </c>
      <c r="N128" s="572"/>
      <c r="O128" s="552">
        <f t="shared" si="2"/>
        <v>0</v>
      </c>
      <c r="P128" s="552">
        <f t="shared" si="3"/>
        <v>0</v>
      </c>
    </row>
    <row r="129" spans="3:16">
      <c r="C129" s="548" t="str">
        <f>IF(D94="","-",+C128+1)</f>
        <v>-</v>
      </c>
      <c r="D129" s="506">
        <f t="shared" si="4"/>
        <v>0</v>
      </c>
      <c r="E129" s="549">
        <f t="shared" si="6"/>
        <v>0</v>
      </c>
      <c r="F129" s="549">
        <f t="shared" si="0"/>
        <v>0</v>
      </c>
      <c r="G129" s="506">
        <f t="shared" si="5"/>
        <v>0</v>
      </c>
      <c r="H129" s="554">
        <f>+J95*G129+E129</f>
        <v>0</v>
      </c>
      <c r="I129" s="555">
        <f>+J96*G129+E129</f>
        <v>0</v>
      </c>
      <c r="J129" s="552">
        <f t="shared" si="7"/>
        <v>0</v>
      </c>
      <c r="K129" s="552"/>
      <c r="L129" s="572"/>
      <c r="M129" s="552">
        <f t="shared" si="1"/>
        <v>0</v>
      </c>
      <c r="N129" s="572"/>
      <c r="O129" s="552">
        <f t="shared" si="2"/>
        <v>0</v>
      </c>
      <c r="P129" s="552">
        <f t="shared" si="3"/>
        <v>0</v>
      </c>
    </row>
    <row r="130" spans="3:16">
      <c r="C130" s="548" t="str">
        <f>IF(D94="","-",+C129+1)</f>
        <v>-</v>
      </c>
      <c r="D130" s="506">
        <f t="shared" si="4"/>
        <v>0</v>
      </c>
      <c r="E130" s="549">
        <f t="shared" si="6"/>
        <v>0</v>
      </c>
      <c r="F130" s="549">
        <f t="shared" si="0"/>
        <v>0</v>
      </c>
      <c r="G130" s="506">
        <f t="shared" si="5"/>
        <v>0</v>
      </c>
      <c r="H130" s="554">
        <f>+J95*G130+E130</f>
        <v>0</v>
      </c>
      <c r="I130" s="555">
        <f>+J96*G130+E130</f>
        <v>0</v>
      </c>
      <c r="J130" s="552">
        <f t="shared" si="7"/>
        <v>0</v>
      </c>
      <c r="K130" s="552"/>
      <c r="L130" s="572"/>
      <c r="M130" s="552">
        <f t="shared" si="1"/>
        <v>0</v>
      </c>
      <c r="N130" s="572"/>
      <c r="O130" s="552">
        <f t="shared" si="2"/>
        <v>0</v>
      </c>
      <c r="P130" s="552">
        <f t="shared" si="3"/>
        <v>0</v>
      </c>
    </row>
    <row r="131" spans="3:16">
      <c r="C131" s="548" t="str">
        <f>IF(D94="","-",+C130+1)</f>
        <v>-</v>
      </c>
      <c r="D131" s="506">
        <f t="shared" si="4"/>
        <v>0</v>
      </c>
      <c r="E131" s="549">
        <f t="shared" si="6"/>
        <v>0</v>
      </c>
      <c r="F131" s="549">
        <f t="shared" si="0"/>
        <v>0</v>
      </c>
      <c r="G131" s="506">
        <f t="shared" si="5"/>
        <v>0</v>
      </c>
      <c r="H131" s="554">
        <f>+J95*G131+E131</f>
        <v>0</v>
      </c>
      <c r="I131" s="555">
        <f>+J96*G131+E131</f>
        <v>0</v>
      </c>
      <c r="J131" s="552">
        <f t="shared" si="7"/>
        <v>0</v>
      </c>
      <c r="K131" s="552"/>
      <c r="L131" s="572"/>
      <c r="M131" s="552">
        <f t="shared" si="1"/>
        <v>0</v>
      </c>
      <c r="N131" s="572"/>
      <c r="O131" s="552">
        <f t="shared" si="2"/>
        <v>0</v>
      </c>
      <c r="P131" s="552">
        <f t="shared" si="3"/>
        <v>0</v>
      </c>
    </row>
    <row r="132" spans="3:16">
      <c r="C132" s="548" t="str">
        <f>IF(D94="","-",+C131+1)</f>
        <v>-</v>
      </c>
      <c r="D132" s="506">
        <f t="shared" si="4"/>
        <v>0</v>
      </c>
      <c r="E132" s="549">
        <f t="shared" si="6"/>
        <v>0</v>
      </c>
      <c r="F132" s="549">
        <f t="shared" si="0"/>
        <v>0</v>
      </c>
      <c r="G132" s="506">
        <f t="shared" si="5"/>
        <v>0</v>
      </c>
      <c r="H132" s="554">
        <f>+J95*G132+E132</f>
        <v>0</v>
      </c>
      <c r="I132" s="555">
        <f>+J96*G132+E132</f>
        <v>0</v>
      </c>
      <c r="J132" s="552">
        <f t="shared" si="7"/>
        <v>0</v>
      </c>
      <c r="K132" s="552"/>
      <c r="L132" s="572"/>
      <c r="M132" s="552">
        <f t="shared" si="1"/>
        <v>0</v>
      </c>
      <c r="N132" s="572"/>
      <c r="O132" s="552">
        <f t="shared" si="2"/>
        <v>0</v>
      </c>
      <c r="P132" s="552">
        <f t="shared" si="3"/>
        <v>0</v>
      </c>
    </row>
    <row r="133" spans="3:16">
      <c r="C133" s="548" t="str">
        <f>IF(D94="","-",+C132+1)</f>
        <v>-</v>
      </c>
      <c r="D133" s="506">
        <f t="shared" si="4"/>
        <v>0</v>
      </c>
      <c r="E133" s="549">
        <f t="shared" si="6"/>
        <v>0</v>
      </c>
      <c r="F133" s="549">
        <f t="shared" si="0"/>
        <v>0</v>
      </c>
      <c r="G133" s="506">
        <f t="shared" si="5"/>
        <v>0</v>
      </c>
      <c r="H133" s="554">
        <f>+J95*G133+E133</f>
        <v>0</v>
      </c>
      <c r="I133" s="555">
        <f>+J96*G133+E133</f>
        <v>0</v>
      </c>
      <c r="J133" s="552">
        <f t="shared" si="7"/>
        <v>0</v>
      </c>
      <c r="K133" s="552"/>
      <c r="L133" s="572"/>
      <c r="M133" s="552">
        <f t="shared" si="1"/>
        <v>0</v>
      </c>
      <c r="N133" s="572"/>
      <c r="O133" s="552">
        <f t="shared" si="2"/>
        <v>0</v>
      </c>
      <c r="P133" s="552">
        <f t="shared" si="3"/>
        <v>0</v>
      </c>
    </row>
    <row r="134" spans="3:16">
      <c r="C134" s="548" t="str">
        <f>IF(D94="","-",+C133+1)</f>
        <v>-</v>
      </c>
      <c r="D134" s="506">
        <f t="shared" si="4"/>
        <v>0</v>
      </c>
      <c r="E134" s="549">
        <f t="shared" si="6"/>
        <v>0</v>
      </c>
      <c r="F134" s="549">
        <f t="shared" si="0"/>
        <v>0</v>
      </c>
      <c r="G134" s="506">
        <f t="shared" si="5"/>
        <v>0</v>
      </c>
      <c r="H134" s="554">
        <f>+J95*G134+E134</f>
        <v>0</v>
      </c>
      <c r="I134" s="555">
        <f>+J96*G134+E134</f>
        <v>0</v>
      </c>
      <c r="J134" s="552">
        <f t="shared" si="7"/>
        <v>0</v>
      </c>
      <c r="K134" s="552"/>
      <c r="L134" s="572"/>
      <c r="M134" s="552">
        <f t="shared" si="1"/>
        <v>0</v>
      </c>
      <c r="N134" s="572"/>
      <c r="O134" s="552">
        <f t="shared" si="2"/>
        <v>0</v>
      </c>
      <c r="P134" s="552">
        <f t="shared" si="3"/>
        <v>0</v>
      </c>
    </row>
    <row r="135" spans="3:16">
      <c r="C135" s="548" t="str">
        <f>IF(D94="","-",+C134+1)</f>
        <v>-</v>
      </c>
      <c r="D135" s="506">
        <f t="shared" si="4"/>
        <v>0</v>
      </c>
      <c r="E135" s="549">
        <f t="shared" si="6"/>
        <v>0</v>
      </c>
      <c r="F135" s="549">
        <f t="shared" si="0"/>
        <v>0</v>
      </c>
      <c r="G135" s="506">
        <f t="shared" si="5"/>
        <v>0</v>
      </c>
      <c r="H135" s="554">
        <f>+J95*G135+E135</f>
        <v>0</v>
      </c>
      <c r="I135" s="555">
        <f>+J96*G135+E135</f>
        <v>0</v>
      </c>
      <c r="J135" s="552">
        <f t="shared" si="7"/>
        <v>0</v>
      </c>
      <c r="K135" s="552"/>
      <c r="L135" s="572"/>
      <c r="M135" s="552">
        <f t="shared" si="1"/>
        <v>0</v>
      </c>
      <c r="N135" s="572"/>
      <c r="O135" s="552">
        <f t="shared" si="2"/>
        <v>0</v>
      </c>
      <c r="P135" s="552">
        <f t="shared" si="3"/>
        <v>0</v>
      </c>
    </row>
    <row r="136" spans="3:16">
      <c r="C136" s="548" t="str">
        <f>IF(D94="","-",+C135+1)</f>
        <v>-</v>
      </c>
      <c r="D136" s="506">
        <f t="shared" si="4"/>
        <v>0</v>
      </c>
      <c r="E136" s="549">
        <f t="shared" si="6"/>
        <v>0</v>
      </c>
      <c r="F136" s="549">
        <f t="shared" si="0"/>
        <v>0</v>
      </c>
      <c r="G136" s="506">
        <f t="shared" si="5"/>
        <v>0</v>
      </c>
      <c r="H136" s="554">
        <f>+J95*G136+E136</f>
        <v>0</v>
      </c>
      <c r="I136" s="555">
        <f>+J96*G136+E136</f>
        <v>0</v>
      </c>
      <c r="J136" s="552">
        <f t="shared" si="7"/>
        <v>0</v>
      </c>
      <c r="K136" s="552"/>
      <c r="L136" s="572"/>
      <c r="M136" s="552">
        <f t="shared" si="1"/>
        <v>0</v>
      </c>
      <c r="N136" s="572"/>
      <c r="O136" s="552">
        <f t="shared" si="2"/>
        <v>0</v>
      </c>
      <c r="P136" s="552">
        <f t="shared" si="3"/>
        <v>0</v>
      </c>
    </row>
    <row r="137" spans="3:16">
      <c r="C137" s="548" t="str">
        <f>IF(D94="","-",+C136+1)</f>
        <v>-</v>
      </c>
      <c r="D137" s="506">
        <f t="shared" si="4"/>
        <v>0</v>
      </c>
      <c r="E137" s="549">
        <f t="shared" si="6"/>
        <v>0</v>
      </c>
      <c r="F137" s="549">
        <f t="shared" si="0"/>
        <v>0</v>
      </c>
      <c r="G137" s="506">
        <f t="shared" si="5"/>
        <v>0</v>
      </c>
      <c r="H137" s="554">
        <f>+J95*G137+E137</f>
        <v>0</v>
      </c>
      <c r="I137" s="555">
        <f>+J96*G137+E137</f>
        <v>0</v>
      </c>
      <c r="J137" s="552">
        <f t="shared" si="7"/>
        <v>0</v>
      </c>
      <c r="K137" s="552"/>
      <c r="L137" s="572"/>
      <c r="M137" s="552">
        <f t="shared" si="1"/>
        <v>0</v>
      </c>
      <c r="N137" s="572"/>
      <c r="O137" s="552">
        <f t="shared" si="2"/>
        <v>0</v>
      </c>
      <c r="P137" s="552">
        <f t="shared" si="3"/>
        <v>0</v>
      </c>
    </row>
    <row r="138" spans="3:16">
      <c r="C138" s="548" t="str">
        <f>IF(D94="","-",+C137+1)</f>
        <v>-</v>
      </c>
      <c r="D138" s="506">
        <f t="shared" si="4"/>
        <v>0</v>
      </c>
      <c r="E138" s="549">
        <f t="shared" si="6"/>
        <v>0</v>
      </c>
      <c r="F138" s="549">
        <f t="shared" si="0"/>
        <v>0</v>
      </c>
      <c r="G138" s="506">
        <f t="shared" si="5"/>
        <v>0</v>
      </c>
      <c r="H138" s="554">
        <f>+J95*G138+E138</f>
        <v>0</v>
      </c>
      <c r="I138" s="555">
        <f>+J96*G138+E138</f>
        <v>0</v>
      </c>
      <c r="J138" s="552">
        <f t="shared" si="7"/>
        <v>0</v>
      </c>
      <c r="K138" s="552"/>
      <c r="L138" s="572"/>
      <c r="M138" s="552">
        <f t="shared" si="1"/>
        <v>0</v>
      </c>
      <c r="N138" s="572"/>
      <c r="O138" s="552">
        <f t="shared" si="2"/>
        <v>0</v>
      </c>
      <c r="P138" s="552">
        <f t="shared" si="3"/>
        <v>0</v>
      </c>
    </row>
    <row r="139" spans="3:16">
      <c r="C139" s="548" t="str">
        <f>IF(D94="","-",+C138+1)</f>
        <v>-</v>
      </c>
      <c r="D139" s="506">
        <f t="shared" si="4"/>
        <v>0</v>
      </c>
      <c r="E139" s="549">
        <f t="shared" si="6"/>
        <v>0</v>
      </c>
      <c r="F139" s="549">
        <f t="shared" si="0"/>
        <v>0</v>
      </c>
      <c r="G139" s="506">
        <f t="shared" si="5"/>
        <v>0</v>
      </c>
      <c r="H139" s="554">
        <f>+J95*G139+E139</f>
        <v>0</v>
      </c>
      <c r="I139" s="555">
        <f>+J96*G139+E139</f>
        <v>0</v>
      </c>
      <c r="J139" s="552">
        <f t="shared" si="7"/>
        <v>0</v>
      </c>
      <c r="K139" s="552"/>
      <c r="L139" s="572"/>
      <c r="M139" s="552">
        <f t="shared" si="1"/>
        <v>0</v>
      </c>
      <c r="N139" s="572"/>
      <c r="O139" s="552">
        <f t="shared" si="2"/>
        <v>0</v>
      </c>
      <c r="P139" s="552">
        <f t="shared" si="3"/>
        <v>0</v>
      </c>
    </row>
    <row r="140" spans="3:16">
      <c r="C140" s="548" t="str">
        <f>IF(D94="","-",+C139+1)</f>
        <v>-</v>
      </c>
      <c r="D140" s="506">
        <f t="shared" si="4"/>
        <v>0</v>
      </c>
      <c r="E140" s="549">
        <f t="shared" si="6"/>
        <v>0</v>
      </c>
      <c r="F140" s="549">
        <f t="shared" si="0"/>
        <v>0</v>
      </c>
      <c r="G140" s="506">
        <f t="shared" si="5"/>
        <v>0</v>
      </c>
      <c r="H140" s="554">
        <f>+J95*G140+E140</f>
        <v>0</v>
      </c>
      <c r="I140" s="555">
        <f>+J96*G140+E140</f>
        <v>0</v>
      </c>
      <c r="J140" s="552">
        <f t="shared" si="7"/>
        <v>0</v>
      </c>
      <c r="K140" s="552"/>
      <c r="L140" s="572"/>
      <c r="M140" s="552">
        <f t="shared" si="1"/>
        <v>0</v>
      </c>
      <c r="N140" s="572"/>
      <c r="O140" s="552">
        <f t="shared" si="2"/>
        <v>0</v>
      </c>
      <c r="P140" s="552">
        <f t="shared" si="3"/>
        <v>0</v>
      </c>
    </row>
    <row r="141" spans="3:16">
      <c r="C141" s="548" t="str">
        <f>IF(D94="","-",+C140+1)</f>
        <v>-</v>
      </c>
      <c r="D141" s="506">
        <f t="shared" si="4"/>
        <v>0</v>
      </c>
      <c r="E141" s="549">
        <f t="shared" si="6"/>
        <v>0</v>
      </c>
      <c r="F141" s="549">
        <f t="shared" si="0"/>
        <v>0</v>
      </c>
      <c r="G141" s="506">
        <f t="shared" si="5"/>
        <v>0</v>
      </c>
      <c r="H141" s="554">
        <f>+J95*G141+E141</f>
        <v>0</v>
      </c>
      <c r="I141" s="555">
        <f>+J96*G141+E141</f>
        <v>0</v>
      </c>
      <c r="J141" s="552">
        <f t="shared" si="7"/>
        <v>0</v>
      </c>
      <c r="K141" s="552"/>
      <c r="L141" s="572"/>
      <c r="M141" s="552">
        <f t="shared" si="1"/>
        <v>0</v>
      </c>
      <c r="N141" s="572"/>
      <c r="O141" s="552">
        <f t="shared" si="2"/>
        <v>0</v>
      </c>
      <c r="P141" s="552">
        <f t="shared" si="3"/>
        <v>0</v>
      </c>
    </row>
    <row r="142" spans="3:16">
      <c r="C142" s="548" t="str">
        <f>IF(D94="","-",+C141+1)</f>
        <v>-</v>
      </c>
      <c r="D142" s="506">
        <f t="shared" si="4"/>
        <v>0</v>
      </c>
      <c r="E142" s="549">
        <f t="shared" si="6"/>
        <v>0</v>
      </c>
      <c r="F142" s="549">
        <f t="shared" si="0"/>
        <v>0</v>
      </c>
      <c r="G142" s="506">
        <f t="shared" si="5"/>
        <v>0</v>
      </c>
      <c r="H142" s="554">
        <f>+J95*G142+E142</f>
        <v>0</v>
      </c>
      <c r="I142" s="555">
        <f>+J96*G142+E142</f>
        <v>0</v>
      </c>
      <c r="J142" s="552">
        <f t="shared" si="7"/>
        <v>0</v>
      </c>
      <c r="K142" s="552"/>
      <c r="L142" s="572"/>
      <c r="M142" s="552">
        <f t="shared" si="1"/>
        <v>0</v>
      </c>
      <c r="N142" s="572"/>
      <c r="O142" s="552">
        <f t="shared" si="2"/>
        <v>0</v>
      </c>
      <c r="P142" s="552">
        <f t="shared" si="3"/>
        <v>0</v>
      </c>
    </row>
    <row r="143" spans="3:16">
      <c r="C143" s="548" t="str">
        <f>IF(D94="","-",+C142+1)</f>
        <v>-</v>
      </c>
      <c r="D143" s="506">
        <f t="shared" si="4"/>
        <v>0</v>
      </c>
      <c r="E143" s="549">
        <f t="shared" si="6"/>
        <v>0</v>
      </c>
      <c r="F143" s="549">
        <f t="shared" si="0"/>
        <v>0</v>
      </c>
      <c r="G143" s="506">
        <f t="shared" si="5"/>
        <v>0</v>
      </c>
      <c r="H143" s="554">
        <f>+J95*G143+E143</f>
        <v>0</v>
      </c>
      <c r="I143" s="555">
        <f>+J96*G143+E143</f>
        <v>0</v>
      </c>
      <c r="J143" s="552">
        <f t="shared" si="7"/>
        <v>0</v>
      </c>
      <c r="K143" s="552"/>
      <c r="L143" s="572"/>
      <c r="M143" s="552">
        <f t="shared" si="1"/>
        <v>0</v>
      </c>
      <c r="N143" s="572"/>
      <c r="O143" s="552">
        <f t="shared" si="2"/>
        <v>0</v>
      </c>
      <c r="P143" s="552">
        <f t="shared" si="3"/>
        <v>0</v>
      </c>
    </row>
    <row r="144" spans="3:16">
      <c r="C144" s="548" t="str">
        <f>IF(D94="","-",+C143+1)</f>
        <v>-</v>
      </c>
      <c r="D144" s="506">
        <f t="shared" si="4"/>
        <v>0</v>
      </c>
      <c r="E144" s="549">
        <f t="shared" si="6"/>
        <v>0</v>
      </c>
      <c r="F144" s="549">
        <f t="shared" si="0"/>
        <v>0</v>
      </c>
      <c r="G144" s="506">
        <f t="shared" si="5"/>
        <v>0</v>
      </c>
      <c r="H144" s="554">
        <f>+J95*G144+E144</f>
        <v>0</v>
      </c>
      <c r="I144" s="555">
        <f>+J96*G144+E144</f>
        <v>0</v>
      </c>
      <c r="J144" s="552">
        <f t="shared" si="7"/>
        <v>0</v>
      </c>
      <c r="K144" s="552"/>
      <c r="L144" s="572"/>
      <c r="M144" s="552">
        <f t="shared" si="1"/>
        <v>0</v>
      </c>
      <c r="N144" s="572"/>
      <c r="O144" s="552">
        <f t="shared" si="2"/>
        <v>0</v>
      </c>
      <c r="P144" s="552">
        <f t="shared" si="3"/>
        <v>0</v>
      </c>
    </row>
    <row r="145" spans="3:16">
      <c r="C145" s="548" t="str">
        <f>IF(D94="","-",+C144+1)</f>
        <v>-</v>
      </c>
      <c r="D145" s="506">
        <f t="shared" si="4"/>
        <v>0</v>
      </c>
      <c r="E145" s="549">
        <f t="shared" si="6"/>
        <v>0</v>
      </c>
      <c r="F145" s="549">
        <f t="shared" si="0"/>
        <v>0</v>
      </c>
      <c r="G145" s="506">
        <f t="shared" si="5"/>
        <v>0</v>
      </c>
      <c r="H145" s="554">
        <f>+J95*G145+E145</f>
        <v>0</v>
      </c>
      <c r="I145" s="555">
        <f>+J96*G145+E145</f>
        <v>0</v>
      </c>
      <c r="J145" s="552">
        <f t="shared" si="7"/>
        <v>0</v>
      </c>
      <c r="K145" s="552"/>
      <c r="L145" s="572"/>
      <c r="M145" s="552">
        <f t="shared" si="1"/>
        <v>0</v>
      </c>
      <c r="N145" s="572"/>
      <c r="O145" s="552">
        <f t="shared" si="2"/>
        <v>0</v>
      </c>
      <c r="P145" s="552">
        <f t="shared" si="3"/>
        <v>0</v>
      </c>
    </row>
    <row r="146" spans="3:16">
      <c r="C146" s="548" t="str">
        <f>IF(D94="","-",+C145+1)</f>
        <v>-</v>
      </c>
      <c r="D146" s="506">
        <f t="shared" si="4"/>
        <v>0</v>
      </c>
      <c r="E146" s="549">
        <f t="shared" si="6"/>
        <v>0</v>
      </c>
      <c r="F146" s="549">
        <f t="shared" si="0"/>
        <v>0</v>
      </c>
      <c r="G146" s="506">
        <f t="shared" si="5"/>
        <v>0</v>
      </c>
      <c r="H146" s="554">
        <f>+J95*G146+E146</f>
        <v>0</v>
      </c>
      <c r="I146" s="555">
        <f>+J96*G146+E146</f>
        <v>0</v>
      </c>
      <c r="J146" s="552">
        <f t="shared" si="7"/>
        <v>0</v>
      </c>
      <c r="K146" s="552"/>
      <c r="L146" s="572"/>
      <c r="M146" s="552">
        <f t="shared" si="1"/>
        <v>0</v>
      </c>
      <c r="N146" s="572"/>
      <c r="O146" s="552">
        <f t="shared" si="2"/>
        <v>0</v>
      </c>
      <c r="P146" s="552">
        <f t="shared" si="3"/>
        <v>0</v>
      </c>
    </row>
    <row r="147" spans="3:16">
      <c r="C147" s="548" t="str">
        <f>IF(D94="","-",+C146+1)</f>
        <v>-</v>
      </c>
      <c r="D147" s="506">
        <f t="shared" si="4"/>
        <v>0</v>
      </c>
      <c r="E147" s="549">
        <f t="shared" si="6"/>
        <v>0</v>
      </c>
      <c r="F147" s="549">
        <f t="shared" si="0"/>
        <v>0</v>
      </c>
      <c r="G147" s="506">
        <f t="shared" si="5"/>
        <v>0</v>
      </c>
      <c r="H147" s="554">
        <f>+J95*G147+E147</f>
        <v>0</v>
      </c>
      <c r="I147" s="555">
        <f>+J96*G147+E147</f>
        <v>0</v>
      </c>
      <c r="J147" s="552">
        <f t="shared" si="7"/>
        <v>0</v>
      </c>
      <c r="K147" s="552"/>
      <c r="L147" s="572"/>
      <c r="M147" s="552">
        <f t="shared" si="1"/>
        <v>0</v>
      </c>
      <c r="N147" s="572"/>
      <c r="O147" s="552">
        <f t="shared" si="2"/>
        <v>0</v>
      </c>
      <c r="P147" s="552">
        <f t="shared" si="3"/>
        <v>0</v>
      </c>
    </row>
    <row r="148" spans="3:16">
      <c r="C148" s="548" t="str">
        <f>IF(D94="","-",+C147+1)</f>
        <v>-</v>
      </c>
      <c r="D148" s="506">
        <f t="shared" si="4"/>
        <v>0</v>
      </c>
      <c r="E148" s="549">
        <f t="shared" si="6"/>
        <v>0</v>
      </c>
      <c r="F148" s="549">
        <f t="shared" si="0"/>
        <v>0</v>
      </c>
      <c r="G148" s="506">
        <f t="shared" si="5"/>
        <v>0</v>
      </c>
      <c r="H148" s="554">
        <f>+J95*G148+E148</f>
        <v>0</v>
      </c>
      <c r="I148" s="555">
        <f>+J96*G148+E148</f>
        <v>0</v>
      </c>
      <c r="J148" s="552">
        <f t="shared" si="7"/>
        <v>0</v>
      </c>
      <c r="K148" s="552"/>
      <c r="L148" s="572"/>
      <c r="M148" s="552">
        <f t="shared" si="1"/>
        <v>0</v>
      </c>
      <c r="N148" s="572"/>
      <c r="O148" s="552">
        <f t="shared" si="2"/>
        <v>0</v>
      </c>
      <c r="P148" s="552">
        <f t="shared" si="3"/>
        <v>0</v>
      </c>
    </row>
    <row r="149" spans="3:16">
      <c r="C149" s="548" t="str">
        <f>IF(D94="","-",+C148+1)</f>
        <v>-</v>
      </c>
      <c r="D149" s="506">
        <f t="shared" si="4"/>
        <v>0</v>
      </c>
      <c r="E149" s="549">
        <f t="shared" si="6"/>
        <v>0</v>
      </c>
      <c r="F149" s="549">
        <f t="shared" si="0"/>
        <v>0</v>
      </c>
      <c r="G149" s="506">
        <f t="shared" si="5"/>
        <v>0</v>
      </c>
      <c r="H149" s="554">
        <f>+J95*G149+E149</f>
        <v>0</v>
      </c>
      <c r="I149" s="555">
        <f>+J96*G149+E149</f>
        <v>0</v>
      </c>
      <c r="J149" s="552">
        <f t="shared" si="7"/>
        <v>0</v>
      </c>
      <c r="K149" s="552"/>
      <c r="L149" s="572"/>
      <c r="M149" s="552">
        <f t="shared" si="1"/>
        <v>0</v>
      </c>
      <c r="N149" s="572"/>
      <c r="O149" s="552">
        <f t="shared" si="2"/>
        <v>0</v>
      </c>
      <c r="P149" s="552">
        <f t="shared" si="3"/>
        <v>0</v>
      </c>
    </row>
    <row r="150" spans="3:16">
      <c r="C150" s="548" t="str">
        <f>IF(D94="","-",+C149+1)</f>
        <v>-</v>
      </c>
      <c r="D150" s="506">
        <f t="shared" si="4"/>
        <v>0</v>
      </c>
      <c r="E150" s="549">
        <f t="shared" si="6"/>
        <v>0</v>
      </c>
      <c r="F150" s="549">
        <f t="shared" si="0"/>
        <v>0</v>
      </c>
      <c r="G150" s="506">
        <f t="shared" si="5"/>
        <v>0</v>
      </c>
      <c r="H150" s="554">
        <f>+J95*G150+E150</f>
        <v>0</v>
      </c>
      <c r="I150" s="555">
        <f>+J96*G150+E150</f>
        <v>0</v>
      </c>
      <c r="J150" s="552">
        <f t="shared" si="7"/>
        <v>0</v>
      </c>
      <c r="K150" s="552"/>
      <c r="L150" s="572"/>
      <c r="M150" s="552">
        <f t="shared" si="1"/>
        <v>0</v>
      </c>
      <c r="N150" s="572"/>
      <c r="O150" s="552">
        <f t="shared" si="2"/>
        <v>0</v>
      </c>
      <c r="P150" s="552">
        <f t="shared" si="3"/>
        <v>0</v>
      </c>
    </row>
    <row r="151" spans="3:16">
      <c r="C151" s="548" t="str">
        <f>IF(D94="","-",+C150+1)</f>
        <v>-</v>
      </c>
      <c r="D151" s="506">
        <f t="shared" si="4"/>
        <v>0</v>
      </c>
      <c r="E151" s="549">
        <f t="shared" si="6"/>
        <v>0</v>
      </c>
      <c r="F151" s="549">
        <f t="shared" si="0"/>
        <v>0</v>
      </c>
      <c r="G151" s="506">
        <f t="shared" si="5"/>
        <v>0</v>
      </c>
      <c r="H151" s="554">
        <f>+J95*G151+E151</f>
        <v>0</v>
      </c>
      <c r="I151" s="555">
        <f>+J96*G151+E151</f>
        <v>0</v>
      </c>
      <c r="J151" s="552">
        <f t="shared" si="7"/>
        <v>0</v>
      </c>
      <c r="K151" s="552"/>
      <c r="L151" s="572"/>
      <c r="M151" s="552">
        <f t="shared" si="1"/>
        <v>0</v>
      </c>
      <c r="N151" s="572"/>
      <c r="O151" s="552">
        <f t="shared" si="2"/>
        <v>0</v>
      </c>
      <c r="P151" s="552">
        <f t="shared" si="3"/>
        <v>0</v>
      </c>
    </row>
    <row r="152" spans="3:16">
      <c r="C152" s="548" t="str">
        <f>IF(D94="","-",+C151+1)</f>
        <v>-</v>
      </c>
      <c r="D152" s="506">
        <f t="shared" si="4"/>
        <v>0</v>
      </c>
      <c r="E152" s="549">
        <f t="shared" si="6"/>
        <v>0</v>
      </c>
      <c r="F152" s="549">
        <f t="shared" si="0"/>
        <v>0</v>
      </c>
      <c r="G152" s="506">
        <f t="shared" si="5"/>
        <v>0</v>
      </c>
      <c r="H152" s="554">
        <f>+J95*G152+E152</f>
        <v>0</v>
      </c>
      <c r="I152" s="555">
        <f>+J96*G152+E152</f>
        <v>0</v>
      </c>
      <c r="J152" s="552">
        <f t="shared" si="7"/>
        <v>0</v>
      </c>
      <c r="K152" s="552"/>
      <c r="L152" s="572"/>
      <c r="M152" s="552">
        <f t="shared" si="1"/>
        <v>0</v>
      </c>
      <c r="N152" s="572"/>
      <c r="O152" s="552">
        <f t="shared" si="2"/>
        <v>0</v>
      </c>
      <c r="P152" s="552">
        <f t="shared" si="3"/>
        <v>0</v>
      </c>
    </row>
    <row r="153" spans="3:16">
      <c r="C153" s="548" t="str">
        <f>IF(D94="","-",+C152+1)</f>
        <v>-</v>
      </c>
      <c r="D153" s="506">
        <f t="shared" si="4"/>
        <v>0</v>
      </c>
      <c r="E153" s="549">
        <f t="shared" si="6"/>
        <v>0</v>
      </c>
      <c r="F153" s="549">
        <f t="shared" si="0"/>
        <v>0</v>
      </c>
      <c r="G153" s="506">
        <f t="shared" si="5"/>
        <v>0</v>
      </c>
      <c r="H153" s="554">
        <f>+J95*G153+E153</f>
        <v>0</v>
      </c>
      <c r="I153" s="555">
        <f>+J96*G153+E153</f>
        <v>0</v>
      </c>
      <c r="J153" s="552">
        <f t="shared" si="7"/>
        <v>0</v>
      </c>
      <c r="K153" s="552"/>
      <c r="L153" s="572"/>
      <c r="M153" s="552">
        <f t="shared" si="1"/>
        <v>0</v>
      </c>
      <c r="N153" s="572"/>
      <c r="O153" s="552">
        <f t="shared" si="2"/>
        <v>0</v>
      </c>
      <c r="P153" s="552">
        <f t="shared" si="3"/>
        <v>0</v>
      </c>
    </row>
    <row r="154" spans="3:16">
      <c r="C154" s="548" t="str">
        <f>IF(D94="","-",+C153+1)</f>
        <v>-</v>
      </c>
      <c r="D154" s="506">
        <f>F153</f>
        <v>0</v>
      </c>
      <c r="E154" s="549">
        <f t="shared" si="6"/>
        <v>0</v>
      </c>
      <c r="F154" s="549">
        <f t="shared" si="0"/>
        <v>0</v>
      </c>
      <c r="G154" s="506">
        <f t="shared" si="5"/>
        <v>0</v>
      </c>
      <c r="H154" s="554">
        <f>+J95*G154+E154</f>
        <v>0</v>
      </c>
      <c r="I154" s="555">
        <f>+J96*G154+E154</f>
        <v>0</v>
      </c>
      <c r="J154" s="552">
        <f t="shared" si="7"/>
        <v>0</v>
      </c>
      <c r="K154" s="552"/>
      <c r="L154" s="572"/>
      <c r="M154" s="552">
        <f t="shared" si="1"/>
        <v>0</v>
      </c>
      <c r="N154" s="572"/>
      <c r="O154" s="552">
        <f t="shared" si="2"/>
        <v>0</v>
      </c>
      <c r="P154" s="552">
        <f t="shared" si="3"/>
        <v>0</v>
      </c>
    </row>
    <row r="155" spans="3:16">
      <c r="C155" s="548" t="str">
        <f>IF(D94="","-",+C154+1)</f>
        <v>-</v>
      </c>
      <c r="D155" s="506">
        <f t="shared" si="4"/>
        <v>0</v>
      </c>
      <c r="E155" s="549">
        <f t="shared" si="6"/>
        <v>0</v>
      </c>
      <c r="F155" s="549">
        <f t="shared" si="0"/>
        <v>0</v>
      </c>
      <c r="G155" s="506">
        <f t="shared" si="5"/>
        <v>0</v>
      </c>
      <c r="H155" s="554">
        <f>+J95*G155+E155</f>
        <v>0</v>
      </c>
      <c r="I155" s="555">
        <f>+J96*G155+E155</f>
        <v>0</v>
      </c>
      <c r="J155" s="552">
        <f t="shared" si="7"/>
        <v>0</v>
      </c>
      <c r="K155" s="552"/>
      <c r="L155" s="572"/>
      <c r="M155" s="552">
        <f t="shared" si="1"/>
        <v>0</v>
      </c>
      <c r="N155" s="572"/>
      <c r="O155" s="552">
        <f t="shared" si="2"/>
        <v>0</v>
      </c>
      <c r="P155" s="552">
        <f t="shared" si="3"/>
        <v>0</v>
      </c>
    </row>
    <row r="156" spans="3:16">
      <c r="C156" s="548" t="str">
        <f>IF(D94="","-",+C155+1)</f>
        <v>-</v>
      </c>
      <c r="D156" s="506">
        <f t="shared" si="4"/>
        <v>0</v>
      </c>
      <c r="E156" s="549">
        <f t="shared" si="6"/>
        <v>0</v>
      </c>
      <c r="F156" s="549">
        <f t="shared" si="0"/>
        <v>0</v>
      </c>
      <c r="G156" s="506">
        <f t="shared" si="5"/>
        <v>0</v>
      </c>
      <c r="H156" s="554">
        <f>+J95*G156+E156</f>
        <v>0</v>
      </c>
      <c r="I156" s="555">
        <f>+J96*G156+E156</f>
        <v>0</v>
      </c>
      <c r="J156" s="552">
        <f t="shared" si="7"/>
        <v>0</v>
      </c>
      <c r="K156" s="552"/>
      <c r="L156" s="572"/>
      <c r="M156" s="552">
        <f t="shared" si="1"/>
        <v>0</v>
      </c>
      <c r="N156" s="572"/>
      <c r="O156" s="552">
        <f t="shared" si="2"/>
        <v>0</v>
      </c>
      <c r="P156" s="552">
        <f t="shared" si="3"/>
        <v>0</v>
      </c>
    </row>
    <row r="157" spans="3:16">
      <c r="C157" s="548" t="str">
        <f>IF(D94="","-",+C156+1)</f>
        <v>-</v>
      </c>
      <c r="D157" s="506">
        <f t="shared" si="4"/>
        <v>0</v>
      </c>
      <c r="E157" s="549">
        <f t="shared" si="6"/>
        <v>0</v>
      </c>
      <c r="F157" s="549">
        <f t="shared" si="0"/>
        <v>0</v>
      </c>
      <c r="G157" s="506">
        <f t="shared" si="5"/>
        <v>0</v>
      </c>
      <c r="H157" s="554">
        <f>+J95*G157+E157</f>
        <v>0</v>
      </c>
      <c r="I157" s="555">
        <f>+J96*G157+E157</f>
        <v>0</v>
      </c>
      <c r="J157" s="552">
        <f t="shared" si="7"/>
        <v>0</v>
      </c>
      <c r="K157" s="552"/>
      <c r="L157" s="572"/>
      <c r="M157" s="552">
        <f t="shared" si="1"/>
        <v>0</v>
      </c>
      <c r="N157" s="572"/>
      <c r="O157" s="552">
        <f t="shared" si="2"/>
        <v>0</v>
      </c>
      <c r="P157" s="552">
        <f t="shared" si="3"/>
        <v>0</v>
      </c>
    </row>
    <row r="158" spans="3:16">
      <c r="C158" s="548" t="str">
        <f>IF(D94="","-",+C157+1)</f>
        <v>-</v>
      </c>
      <c r="D158" s="506">
        <f t="shared" si="4"/>
        <v>0</v>
      </c>
      <c r="E158" s="549">
        <f t="shared" si="6"/>
        <v>0</v>
      </c>
      <c r="F158" s="549">
        <f t="shared" si="0"/>
        <v>0</v>
      </c>
      <c r="G158" s="506">
        <f t="shared" si="5"/>
        <v>0</v>
      </c>
      <c r="H158" s="554">
        <f>+J95*G158+E158</f>
        <v>0</v>
      </c>
      <c r="I158" s="555">
        <f>+J96*G158+E158</f>
        <v>0</v>
      </c>
      <c r="J158" s="552">
        <f t="shared" si="7"/>
        <v>0</v>
      </c>
      <c r="K158" s="552"/>
      <c r="L158" s="572"/>
      <c r="M158" s="552">
        <f t="shared" si="1"/>
        <v>0</v>
      </c>
      <c r="N158" s="572"/>
      <c r="O158" s="552">
        <f t="shared" si="2"/>
        <v>0</v>
      </c>
      <c r="P158" s="552">
        <f t="shared" si="3"/>
        <v>0</v>
      </c>
    </row>
    <row r="159" spans="3:16" ht="13.5" thickBot="1">
      <c r="C159" s="558" t="str">
        <f>IF(D94="","-",+C158+1)</f>
        <v>-</v>
      </c>
      <c r="D159" s="559">
        <f t="shared" si="4"/>
        <v>0</v>
      </c>
      <c r="E159" s="560">
        <f t="shared" si="6"/>
        <v>0</v>
      </c>
      <c r="F159" s="560">
        <f t="shared" si="0"/>
        <v>0</v>
      </c>
      <c r="G159" s="559">
        <f t="shared" si="5"/>
        <v>0</v>
      </c>
      <c r="H159" s="561">
        <f>+J95*G159+E159</f>
        <v>0</v>
      </c>
      <c r="I159" s="561">
        <f>+J96*G159+E159</f>
        <v>0</v>
      </c>
      <c r="J159" s="562">
        <f t="shared" si="7"/>
        <v>0</v>
      </c>
      <c r="K159" s="552"/>
      <c r="L159" s="573"/>
      <c r="M159" s="562">
        <f t="shared" si="1"/>
        <v>0</v>
      </c>
      <c r="N159" s="573"/>
      <c r="O159" s="562">
        <f t="shared" si="2"/>
        <v>0</v>
      </c>
      <c r="P159" s="562">
        <f t="shared" si="3"/>
        <v>0</v>
      </c>
    </row>
    <row r="160" spans="3:16">
      <c r="C160" s="506" t="s">
        <v>83</v>
      </c>
      <c r="D160" s="503"/>
      <c r="E160" s="503">
        <f>SUM(E100:E159)</f>
        <v>0</v>
      </c>
      <c r="F160" s="503"/>
      <c r="G160" s="503"/>
      <c r="H160" s="503">
        <f>SUM(H100:H159)</f>
        <v>0</v>
      </c>
      <c r="I160" s="503">
        <f>SUM(I100:I159)</f>
        <v>0</v>
      </c>
      <c r="J160" s="503">
        <f>SUM(J100:J159)</f>
        <v>0</v>
      </c>
      <c r="K160" s="503"/>
      <c r="L160" s="503"/>
      <c r="M160" s="503"/>
      <c r="N160" s="503"/>
      <c r="O160" s="503"/>
    </row>
    <row r="161" spans="3:15">
      <c r="D161" s="47"/>
      <c r="E161" s="3"/>
      <c r="F161" s="3"/>
      <c r="G161" s="3"/>
      <c r="H161" s="3"/>
      <c r="I161" s="490"/>
      <c r="J161" s="490"/>
      <c r="K161" s="503"/>
      <c r="L161" s="490"/>
      <c r="M161" s="490"/>
      <c r="N161" s="490"/>
      <c r="O161" s="490"/>
    </row>
    <row r="162" spans="3:15">
      <c r="C162" s="3" t="s">
        <v>13</v>
      </c>
      <c r="D162" s="47"/>
      <c r="E162" s="3"/>
      <c r="F162" s="3"/>
      <c r="G162" s="3"/>
      <c r="H162" s="3"/>
      <c r="I162" s="490"/>
      <c r="J162" s="490"/>
      <c r="K162" s="503"/>
      <c r="L162" s="490"/>
      <c r="M162" s="490"/>
      <c r="N162" s="490"/>
      <c r="O162" s="490"/>
    </row>
    <row r="163" spans="3:15">
      <c r="C163" s="3"/>
      <c r="D163" s="47"/>
      <c r="E163" s="3"/>
      <c r="F163" s="3"/>
      <c r="G163" s="3"/>
      <c r="H163" s="3"/>
      <c r="I163" s="490"/>
      <c r="J163" s="490"/>
      <c r="K163" s="503"/>
      <c r="L163" s="490"/>
      <c r="M163" s="490"/>
      <c r="N163" s="490"/>
      <c r="O163" s="490"/>
    </row>
    <row r="164" spans="3:15">
      <c r="C164" s="518" t="s">
        <v>14</v>
      </c>
      <c r="D164" s="506"/>
      <c r="E164" s="506"/>
      <c r="F164" s="506"/>
      <c r="G164" s="506"/>
      <c r="H164" s="503"/>
      <c r="I164" s="503"/>
      <c r="J164" s="564"/>
      <c r="K164" s="564"/>
      <c r="L164" s="564"/>
      <c r="M164" s="564"/>
      <c r="N164" s="564"/>
      <c r="O164" s="564"/>
    </row>
    <row r="165" spans="3:15">
      <c r="C165" s="507" t="s">
        <v>263</v>
      </c>
      <c r="D165" s="506"/>
      <c r="E165" s="506"/>
      <c r="F165" s="506"/>
      <c r="G165" s="506"/>
      <c r="H165" s="503"/>
      <c r="I165" s="503"/>
      <c r="J165" s="564"/>
      <c r="K165" s="564"/>
      <c r="L165" s="564"/>
      <c r="M165" s="564"/>
      <c r="N165" s="564"/>
      <c r="O165" s="564"/>
    </row>
    <row r="166" spans="3:15">
      <c r="C166" s="507" t="s">
        <v>84</v>
      </c>
      <c r="D166" s="506"/>
      <c r="E166" s="506"/>
      <c r="F166" s="506"/>
      <c r="G166" s="506"/>
      <c r="H166" s="503"/>
      <c r="I166" s="503"/>
      <c r="J166" s="564"/>
      <c r="K166" s="564"/>
      <c r="L166" s="564"/>
      <c r="M166" s="564"/>
      <c r="N166" s="564"/>
      <c r="O166" s="564"/>
    </row>
  </sheetData>
  <mergeCells count="11">
    <mergeCell ref="L93:O93"/>
    <mergeCell ref="D89:I89"/>
    <mergeCell ref="C51:D52"/>
    <mergeCell ref="C60:D61"/>
    <mergeCell ref="C71:D72"/>
    <mergeCell ref="J77:P80"/>
    <mergeCell ref="A3:P3"/>
    <mergeCell ref="C11:I12"/>
    <mergeCell ref="A4:P4"/>
    <mergeCell ref="A5:P5"/>
    <mergeCell ref="A6:P6"/>
  </mergeCells>
  <phoneticPr fontId="0" type="noConversion"/>
  <conditionalFormatting sqref="C100:C159">
    <cfRule type="cellIs" dxfId="4"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0"/>
  <sheetViews>
    <sheetView tabSelected="1" zoomScaleNormal="75" workbookViewId="0">
      <selection activeCell="L25" sqref="L25"/>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39" t="s">
        <v>406</v>
      </c>
    </row>
    <row r="2" spans="1:5" ht="15.75">
      <c r="A2" s="739" t="s">
        <v>406</v>
      </c>
    </row>
    <row r="3" spans="1:5" ht="15">
      <c r="B3" s="1140" t="str">
        <f>TCOS!$F$5</f>
        <v>AEPTCo subsidiaries in PJM</v>
      </c>
      <c r="C3" s="1140" t="str">
        <f>TCOS!$F$5</f>
        <v>AEPTCo subsidiaries in PJM</v>
      </c>
      <c r="D3" s="1140" t="str">
        <f>TCOS!$F$5</f>
        <v>AEPTCo subsidiaries in PJM</v>
      </c>
      <c r="E3" s="1140" t="str">
        <f>TCOS!$F$5</f>
        <v>AEPTCo subsidiaries in PJM</v>
      </c>
    </row>
    <row r="4" spans="1:5" ht="15">
      <c r="B4" s="1141" t="str">
        <f>"Cost of Service Formula Rate Using Actual/Projected FF1 Balances"</f>
        <v>Cost of Service Formula Rate Using Actual/Projected FF1 Balances</v>
      </c>
      <c r="C4" s="1141"/>
      <c r="D4" s="1141"/>
      <c r="E4" s="1141"/>
    </row>
    <row r="5" spans="1:5" ht="15">
      <c r="B5" s="1140" t="s">
        <v>589</v>
      </c>
      <c r="C5" s="1140"/>
      <c r="D5" s="1140"/>
      <c r="E5" s="1140"/>
    </row>
    <row r="6" spans="1:5" ht="15">
      <c r="B6" s="1151" t="str">
        <f>+TCOS!F9</f>
        <v>AEP Appalachian Transmission Company</v>
      </c>
      <c r="C6" s="1140"/>
      <c r="D6" s="1140"/>
      <c r="E6" s="1140"/>
    </row>
    <row r="8" spans="1:5" ht="18.75" customHeight="1">
      <c r="B8" s="6" t="s">
        <v>406</v>
      </c>
      <c r="C8" s="63"/>
      <c r="D8" s="76"/>
    </row>
    <row r="9" spans="1:5">
      <c r="B9" s="75"/>
      <c r="C9" s="63"/>
      <c r="D9" s="76"/>
    </row>
    <row r="10" spans="1:5">
      <c r="B10" s="8" t="s">
        <v>553</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6"/>
  <sheetViews>
    <sheetView tabSelected="1" topLeftCell="A28" zoomScale="90" zoomScaleNormal="90" zoomScaleSheetLayoutView="70" workbookViewId="0">
      <selection activeCell="L25" sqref="L25"/>
    </sheetView>
  </sheetViews>
  <sheetFormatPr defaultColWidth="11.42578125" defaultRowHeight="12.75"/>
  <cols>
    <col min="1" max="1" width="10.28515625" style="866" customWidth="1"/>
    <col min="2" max="2" width="52.28515625" style="840" customWidth="1"/>
    <col min="3" max="7" width="20.28515625" style="840" customWidth="1"/>
    <col min="8" max="8" width="23" style="840" customWidth="1"/>
    <col min="9" max="11" width="20.28515625" style="840" customWidth="1"/>
    <col min="12" max="12" width="20" style="840" customWidth="1"/>
    <col min="13" max="14" width="15.140625" style="840" customWidth="1"/>
    <col min="15" max="16384" width="11.42578125" style="840"/>
  </cols>
  <sheetData>
    <row r="1" spans="1:12" ht="15">
      <c r="A1" s="1199" t="str">
        <f>TCOS!F5</f>
        <v>AEPTCo subsidiaries in PJM</v>
      </c>
      <c r="B1" s="1199" t="s">
        <v>321</v>
      </c>
      <c r="C1" s="1199" t="s">
        <v>321</v>
      </c>
      <c r="D1" s="1199" t="s">
        <v>321</v>
      </c>
      <c r="E1" s="1199" t="s">
        <v>321</v>
      </c>
      <c r="F1" s="1199" t="s">
        <v>321</v>
      </c>
      <c r="G1" s="1199" t="s">
        <v>321</v>
      </c>
      <c r="H1" s="751"/>
    </row>
    <row r="2" spans="1:12" ht="15">
      <c r="A2" s="1141" t="str">
        <f>"Cost of Service Formula Rate Using Actual/Projected FF1 Balances"</f>
        <v>Cost of Service Formula Rate Using Actual/Projected FF1 Balances</v>
      </c>
      <c r="B2" s="1141"/>
      <c r="C2" s="1141"/>
      <c r="D2" s="1141"/>
      <c r="E2" s="1141"/>
      <c r="F2" s="1141"/>
      <c r="G2" s="1141"/>
      <c r="H2" s="841"/>
      <c r="I2" s="841"/>
      <c r="J2" s="841"/>
      <c r="L2" s="842"/>
    </row>
    <row r="3" spans="1:12" ht="15">
      <c r="A3" s="1141" t="s">
        <v>729</v>
      </c>
      <c r="B3" s="1141"/>
      <c r="C3" s="1141"/>
      <c r="D3" s="1141"/>
      <c r="E3" s="1141"/>
      <c r="F3" s="1141"/>
      <c r="G3" s="1141"/>
      <c r="H3" s="841"/>
      <c r="I3" s="841"/>
      <c r="J3" s="841"/>
    </row>
    <row r="4" spans="1:12" ht="15">
      <c r="A4" s="1142" t="str">
        <f>TCOS!F9</f>
        <v>AEP Appalachian Transmission Company</v>
      </c>
      <c r="B4" s="1142"/>
      <c r="C4" s="1142"/>
      <c r="D4" s="1142"/>
      <c r="E4" s="1142"/>
      <c r="F4" s="1142"/>
      <c r="G4" s="1142"/>
      <c r="H4" s="841"/>
      <c r="I4" s="841"/>
      <c r="J4" s="841"/>
    </row>
    <row r="5" spans="1:12">
      <c r="A5" s="841"/>
      <c r="B5" s="843"/>
      <c r="C5" s="843"/>
      <c r="D5" s="843"/>
      <c r="E5" s="844"/>
      <c r="F5" s="845"/>
      <c r="H5" s="750"/>
      <c r="I5" s="750"/>
      <c r="J5" s="750"/>
      <c r="K5" s="750"/>
      <c r="L5" s="750"/>
    </row>
    <row r="6" spans="1:12" ht="12.75" customHeight="1">
      <c r="A6" s="751"/>
      <c r="B6" s="787"/>
      <c r="C6" s="1143" t="s">
        <v>331</v>
      </c>
      <c r="D6" s="1144"/>
      <c r="E6" s="1144"/>
      <c r="F6" s="1144"/>
      <c r="G6" s="1145"/>
      <c r="H6" s="750"/>
      <c r="I6" s="750"/>
      <c r="J6" s="750"/>
      <c r="K6" s="750"/>
      <c r="L6" s="750"/>
    </row>
    <row r="7" spans="1:12" s="848" customFormat="1" ht="38.25">
      <c r="A7" s="846" t="s">
        <v>701</v>
      </c>
      <c r="B7" s="792" t="s">
        <v>702</v>
      </c>
      <c r="C7" s="815" t="s">
        <v>730</v>
      </c>
      <c r="D7" s="793" t="s">
        <v>163</v>
      </c>
      <c r="E7" s="793" t="s">
        <v>731</v>
      </c>
      <c r="F7" s="793" t="s">
        <v>732</v>
      </c>
      <c r="G7" s="847" t="s">
        <v>331</v>
      </c>
      <c r="H7" s="750"/>
      <c r="I7" s="750"/>
      <c r="J7" s="750"/>
      <c r="K7" s="750"/>
      <c r="L7" s="750"/>
    </row>
    <row r="8" spans="1:12" s="851" customFormat="1">
      <c r="A8" s="849"/>
      <c r="B8" s="795" t="s">
        <v>706</v>
      </c>
      <c r="C8" s="816" t="s">
        <v>721</v>
      </c>
      <c r="D8" s="789" t="s">
        <v>722</v>
      </c>
      <c r="E8" s="789" t="s">
        <v>707</v>
      </c>
      <c r="F8" s="789" t="s">
        <v>708</v>
      </c>
      <c r="G8" s="850" t="s">
        <v>733</v>
      </c>
      <c r="H8" s="750"/>
      <c r="I8" s="750"/>
      <c r="J8" s="750"/>
      <c r="K8" s="750"/>
      <c r="L8" s="750"/>
    </row>
    <row r="9" spans="1:12" s="851" customFormat="1" ht="44.25" customHeight="1">
      <c r="A9" s="849"/>
      <c r="B9" s="795" t="s">
        <v>709</v>
      </c>
      <c r="C9" s="852" t="s">
        <v>734</v>
      </c>
      <c r="D9" s="797" t="s">
        <v>735</v>
      </c>
      <c r="E9" s="797" t="s">
        <v>736</v>
      </c>
      <c r="F9" s="797" t="s">
        <v>737</v>
      </c>
      <c r="G9" s="853"/>
      <c r="H9" s="750"/>
      <c r="I9" s="750"/>
      <c r="J9" s="750"/>
      <c r="K9" s="750"/>
      <c r="L9" s="750"/>
    </row>
    <row r="10" spans="1:12">
      <c r="A10" s="849">
        <v>1</v>
      </c>
      <c r="B10" s="798" t="s">
        <v>710</v>
      </c>
      <c r="C10" s="854">
        <v>133364028.5997251</v>
      </c>
      <c r="D10" s="854">
        <v>0</v>
      </c>
      <c r="E10" s="854">
        <v>0</v>
      </c>
      <c r="F10" s="854">
        <v>0</v>
      </c>
      <c r="G10" s="855">
        <f>+C10-D10-E10-F10</f>
        <v>133364028.5997251</v>
      </c>
      <c r="H10" s="750"/>
      <c r="I10" s="750"/>
      <c r="J10" s="750"/>
      <c r="K10" s="750"/>
      <c r="L10" s="750"/>
    </row>
    <row r="11" spans="1:12">
      <c r="A11" s="849">
        <f>+A10+1</f>
        <v>2</v>
      </c>
      <c r="B11" s="798" t="s">
        <v>566</v>
      </c>
      <c r="C11" s="854">
        <v>134231441.259828</v>
      </c>
      <c r="D11" s="954">
        <v>0</v>
      </c>
      <c r="E11" s="954">
        <v>0</v>
      </c>
      <c r="F11" s="954">
        <v>0</v>
      </c>
      <c r="G11" s="855">
        <f t="shared" ref="G11:G22" si="0">+C11-D11-E11-F11</f>
        <v>134231441.259828</v>
      </c>
      <c r="H11" s="750"/>
      <c r="I11" s="750"/>
      <c r="J11" s="750"/>
      <c r="K11" s="750"/>
      <c r="L11" s="750"/>
    </row>
    <row r="12" spans="1:12">
      <c r="A12" s="849">
        <f t="shared" ref="A12:A23" si="1">+A11+1</f>
        <v>3</v>
      </c>
      <c r="B12" s="800" t="s">
        <v>567</v>
      </c>
      <c r="C12" s="854">
        <v>109094087.91721971</v>
      </c>
      <c r="D12" s="954">
        <v>0</v>
      </c>
      <c r="E12" s="954">
        <v>0</v>
      </c>
      <c r="F12" s="954">
        <v>0</v>
      </c>
      <c r="G12" s="855">
        <f t="shared" si="0"/>
        <v>109094087.91721971</v>
      </c>
      <c r="H12" s="750"/>
      <c r="I12" s="750"/>
      <c r="J12" s="750"/>
      <c r="K12" s="750"/>
      <c r="L12" s="750"/>
    </row>
    <row r="13" spans="1:12">
      <c r="A13" s="849">
        <f t="shared" si="1"/>
        <v>4</v>
      </c>
      <c r="B13" s="800" t="s">
        <v>711</v>
      </c>
      <c r="C13" s="854">
        <v>109859284.60742082</v>
      </c>
      <c r="D13" s="954">
        <v>0</v>
      </c>
      <c r="E13" s="954">
        <v>0</v>
      </c>
      <c r="F13" s="954">
        <v>0</v>
      </c>
      <c r="G13" s="855">
        <f t="shared" si="0"/>
        <v>109859284.60742082</v>
      </c>
      <c r="H13" s="750"/>
      <c r="I13" s="750"/>
      <c r="J13" s="750"/>
      <c r="K13" s="750"/>
      <c r="L13" s="750"/>
    </row>
    <row r="14" spans="1:12">
      <c r="A14" s="849">
        <f t="shared" si="1"/>
        <v>5</v>
      </c>
      <c r="B14" s="800" t="s">
        <v>569</v>
      </c>
      <c r="C14" s="854">
        <v>110574597.48434149</v>
      </c>
      <c r="D14" s="954">
        <v>0</v>
      </c>
      <c r="E14" s="954">
        <v>0</v>
      </c>
      <c r="F14" s="954">
        <v>0</v>
      </c>
      <c r="G14" s="855">
        <f t="shared" si="0"/>
        <v>110574597.48434149</v>
      </c>
      <c r="H14" s="750"/>
      <c r="I14" s="750"/>
      <c r="J14" s="750"/>
      <c r="K14" s="750"/>
      <c r="L14" s="750"/>
    </row>
    <row r="15" spans="1:12">
      <c r="A15" s="849">
        <f t="shared" si="1"/>
        <v>6</v>
      </c>
      <c r="B15" s="800" t="s">
        <v>570</v>
      </c>
      <c r="C15" s="854">
        <v>110830427.59683736</v>
      </c>
      <c r="D15" s="954">
        <v>0</v>
      </c>
      <c r="E15" s="954">
        <v>0</v>
      </c>
      <c r="F15" s="954">
        <v>0</v>
      </c>
      <c r="G15" s="855">
        <f t="shared" si="0"/>
        <v>110830427.59683736</v>
      </c>
      <c r="H15" s="750"/>
      <c r="I15" s="750"/>
      <c r="J15" s="750"/>
      <c r="K15" s="750"/>
      <c r="L15" s="750"/>
    </row>
    <row r="16" spans="1:12">
      <c r="A16" s="849">
        <f t="shared" si="1"/>
        <v>7</v>
      </c>
      <c r="B16" s="800" t="s">
        <v>571</v>
      </c>
      <c r="C16" s="854">
        <v>111548398.44144468</v>
      </c>
      <c r="D16" s="954">
        <v>0</v>
      </c>
      <c r="E16" s="954">
        <v>0</v>
      </c>
      <c r="F16" s="954">
        <v>0</v>
      </c>
      <c r="G16" s="855">
        <f t="shared" si="0"/>
        <v>111548398.44144468</v>
      </c>
      <c r="H16" s="750"/>
      <c r="I16" s="750"/>
      <c r="J16" s="750"/>
      <c r="K16" s="750"/>
      <c r="L16" s="750"/>
    </row>
    <row r="17" spans="1:12">
      <c r="A17" s="849">
        <f t="shared" si="1"/>
        <v>8</v>
      </c>
      <c r="B17" s="800" t="s">
        <v>572</v>
      </c>
      <c r="C17" s="854">
        <v>112298989.77299234</v>
      </c>
      <c r="D17" s="954">
        <v>0</v>
      </c>
      <c r="E17" s="954">
        <v>0</v>
      </c>
      <c r="F17" s="954">
        <v>0</v>
      </c>
      <c r="G17" s="855">
        <f t="shared" si="0"/>
        <v>112298989.77299234</v>
      </c>
      <c r="H17" s="750"/>
      <c r="I17" s="750"/>
      <c r="J17" s="750"/>
      <c r="K17" s="750"/>
      <c r="L17" s="750"/>
    </row>
    <row r="18" spans="1:12">
      <c r="A18" s="849">
        <f t="shared" si="1"/>
        <v>9</v>
      </c>
      <c r="B18" s="800" t="s">
        <v>712</v>
      </c>
      <c r="C18" s="854">
        <v>112556441.28316124</v>
      </c>
      <c r="D18" s="954">
        <v>0</v>
      </c>
      <c r="E18" s="954">
        <v>0</v>
      </c>
      <c r="F18" s="954">
        <v>0</v>
      </c>
      <c r="G18" s="855">
        <f t="shared" si="0"/>
        <v>112556441.28316124</v>
      </c>
      <c r="H18" s="750"/>
      <c r="I18" s="750"/>
      <c r="J18" s="750"/>
      <c r="K18" s="750"/>
      <c r="L18" s="750"/>
    </row>
    <row r="19" spans="1:12">
      <c r="A19" s="849">
        <f t="shared" si="1"/>
        <v>10</v>
      </c>
      <c r="B19" s="800" t="s">
        <v>574</v>
      </c>
      <c r="C19" s="854">
        <v>113267282.30828969</v>
      </c>
      <c r="D19" s="954">
        <v>0</v>
      </c>
      <c r="E19" s="954">
        <v>0</v>
      </c>
      <c r="F19" s="954">
        <v>0</v>
      </c>
      <c r="G19" s="855">
        <f t="shared" si="0"/>
        <v>113267282.30828969</v>
      </c>
      <c r="H19" s="750"/>
      <c r="I19" s="750"/>
      <c r="J19" s="750"/>
      <c r="K19" s="750"/>
      <c r="L19" s="750"/>
    </row>
    <row r="20" spans="1:12">
      <c r="A20" s="849">
        <f t="shared" si="1"/>
        <v>11</v>
      </c>
      <c r="B20" s="800" t="s">
        <v>575</v>
      </c>
      <c r="C20" s="854">
        <v>114022334.6965047</v>
      </c>
      <c r="D20" s="954">
        <v>0</v>
      </c>
      <c r="E20" s="954">
        <v>0</v>
      </c>
      <c r="F20" s="954">
        <v>0</v>
      </c>
      <c r="G20" s="855">
        <f t="shared" si="0"/>
        <v>114022334.6965047</v>
      </c>
      <c r="H20" s="750"/>
      <c r="I20" s="750"/>
      <c r="J20" s="750"/>
      <c r="K20" s="750"/>
      <c r="L20" s="750"/>
    </row>
    <row r="21" spans="1:12">
      <c r="A21" s="849">
        <f t="shared" si="1"/>
        <v>12</v>
      </c>
      <c r="B21" s="800" t="s">
        <v>576</v>
      </c>
      <c r="C21" s="854">
        <v>114245870.09534098</v>
      </c>
      <c r="D21" s="954">
        <v>0</v>
      </c>
      <c r="E21" s="954">
        <v>0</v>
      </c>
      <c r="F21" s="954">
        <v>0</v>
      </c>
      <c r="G21" s="855">
        <f t="shared" si="0"/>
        <v>114245870.09534098</v>
      </c>
      <c r="H21" s="750"/>
      <c r="I21" s="750"/>
      <c r="J21" s="750"/>
      <c r="K21" s="750"/>
      <c r="L21" s="750"/>
    </row>
    <row r="22" spans="1:12">
      <c r="A22" s="856">
        <f t="shared" si="1"/>
        <v>13</v>
      </c>
      <c r="B22" s="802" t="s">
        <v>713</v>
      </c>
      <c r="C22" s="854">
        <v>115136033.71886227</v>
      </c>
      <c r="D22" s="854">
        <v>0</v>
      </c>
      <c r="E22" s="854">
        <v>0</v>
      </c>
      <c r="F22" s="854">
        <v>0</v>
      </c>
      <c r="G22" s="855">
        <f t="shared" si="0"/>
        <v>115136033.71886227</v>
      </c>
      <c r="H22" s="750"/>
      <c r="I22" s="750"/>
      <c r="J22" s="750"/>
      <c r="K22" s="750"/>
      <c r="L22" s="750"/>
    </row>
    <row r="23" spans="1:12" ht="13.5" thickBot="1">
      <c r="A23" s="856">
        <f t="shared" si="1"/>
        <v>14</v>
      </c>
      <c r="B23" s="803" t="s">
        <v>714</v>
      </c>
      <c r="C23" s="824">
        <f>(SUM(C10:C22)/13)</f>
        <v>115463785.98322834</v>
      </c>
      <c r="D23" s="824">
        <f t="shared" ref="D23:F23" si="2">(SUM(D10:D22)/13)</f>
        <v>0</v>
      </c>
      <c r="E23" s="824">
        <f t="shared" si="2"/>
        <v>0</v>
      </c>
      <c r="F23" s="824">
        <f t="shared" si="2"/>
        <v>0</v>
      </c>
      <c r="G23" s="824">
        <f>ROUND(SUM(G10:G22)/13,-3)</f>
        <v>115464000</v>
      </c>
      <c r="H23" s="968"/>
      <c r="I23" s="750"/>
      <c r="J23" s="750"/>
      <c r="K23" s="750"/>
      <c r="L23" s="750"/>
    </row>
    <row r="24" spans="1:12" ht="13.5" thickTop="1">
      <c r="A24" s="751"/>
      <c r="B24" s="805"/>
      <c r="C24" s="806"/>
      <c r="D24" s="807"/>
      <c r="E24" s="807"/>
      <c r="F24" s="807"/>
      <c r="G24" s="806"/>
      <c r="H24" s="806"/>
      <c r="I24" s="750"/>
      <c r="J24" s="750"/>
      <c r="K24" s="750"/>
      <c r="L24" s="750"/>
    </row>
    <row r="25" spans="1:12" ht="12.75" customHeight="1">
      <c r="A25" s="751"/>
      <c r="B25" s="787"/>
      <c r="C25" s="1200" t="s">
        <v>532</v>
      </c>
      <c r="D25" s="1201"/>
      <c r="E25" s="1201"/>
      <c r="F25" s="1201"/>
      <c r="G25" s="1201"/>
      <c r="H25" s="1202"/>
      <c r="I25" s="750"/>
      <c r="J25" s="750"/>
      <c r="K25" s="750"/>
      <c r="L25" s="750"/>
    </row>
    <row r="26" spans="1:12" s="848" customFormat="1" ht="38.25">
      <c r="A26" s="846" t="s">
        <v>701</v>
      </c>
      <c r="B26" s="792" t="s">
        <v>702</v>
      </c>
      <c r="C26" s="815" t="s">
        <v>738</v>
      </c>
      <c r="D26" s="793" t="s">
        <v>739</v>
      </c>
      <c r="E26" s="793" t="s">
        <v>753</v>
      </c>
      <c r="F26" s="793" t="s">
        <v>754</v>
      </c>
      <c r="G26" s="793" t="s">
        <v>740</v>
      </c>
      <c r="H26" s="847" t="s">
        <v>752</v>
      </c>
      <c r="I26" s="750"/>
      <c r="J26" s="750"/>
      <c r="K26" s="750"/>
      <c r="L26" s="750"/>
    </row>
    <row r="27" spans="1:12" s="851" customFormat="1">
      <c r="A27" s="849"/>
      <c r="B27" s="795" t="s">
        <v>706</v>
      </c>
      <c r="C27" s="816" t="s">
        <v>721</v>
      </c>
      <c r="D27" s="789" t="s">
        <v>722</v>
      </c>
      <c r="E27" s="789" t="s">
        <v>707</v>
      </c>
      <c r="F27" s="789" t="s">
        <v>708</v>
      </c>
      <c r="G27" s="789" t="s">
        <v>741</v>
      </c>
      <c r="H27" s="850" t="s">
        <v>742</v>
      </c>
      <c r="I27" s="750"/>
      <c r="J27" s="750"/>
      <c r="K27" s="750"/>
      <c r="L27" s="750"/>
    </row>
    <row r="28" spans="1:12" s="851" customFormat="1" ht="44.25" customHeight="1">
      <c r="A28" s="849"/>
      <c r="B28" s="795" t="s">
        <v>709</v>
      </c>
      <c r="C28" s="852" t="s">
        <v>743</v>
      </c>
      <c r="D28" s="797" t="s">
        <v>744</v>
      </c>
      <c r="E28" s="797" t="s">
        <v>745</v>
      </c>
      <c r="F28" s="797" t="s">
        <v>746</v>
      </c>
      <c r="G28" s="797" t="s">
        <v>747</v>
      </c>
      <c r="H28" s="858"/>
      <c r="I28" s="750"/>
      <c r="J28" s="750"/>
      <c r="K28" s="750"/>
      <c r="L28" s="750"/>
    </row>
    <row r="29" spans="1:12">
      <c r="A29" s="849">
        <f>+A23+1</f>
        <v>15</v>
      </c>
      <c r="B29" s="798" t="s">
        <v>710</v>
      </c>
      <c r="C29" s="954">
        <v>0</v>
      </c>
      <c r="D29" s="854">
        <v>0</v>
      </c>
      <c r="E29" s="854">
        <v>60600000</v>
      </c>
      <c r="F29" s="854">
        <v>11608676.180230075</v>
      </c>
      <c r="G29" s="854">
        <v>0</v>
      </c>
      <c r="H29" s="855">
        <f>+C29-D29+E29+F29-G29</f>
        <v>72208676.180230081</v>
      </c>
      <c r="I29" s="750"/>
      <c r="J29" s="750"/>
      <c r="K29" s="750"/>
      <c r="L29" s="750"/>
    </row>
    <row r="30" spans="1:12">
      <c r="A30" s="849">
        <f>+A29+1</f>
        <v>16</v>
      </c>
      <c r="B30" s="798" t="s">
        <v>566</v>
      </c>
      <c r="C30" s="954">
        <v>0</v>
      </c>
      <c r="D30" s="954">
        <v>0</v>
      </c>
      <c r="E30" s="854">
        <v>60600000</v>
      </c>
      <c r="F30" s="854">
        <v>10905679.122547759</v>
      </c>
      <c r="G30" s="954">
        <v>0</v>
      </c>
      <c r="H30" s="855">
        <f t="shared" ref="H30:H41" si="3">+C30-D30+E30+F30-G30</f>
        <v>71505679.122547761</v>
      </c>
      <c r="I30" s="750"/>
      <c r="J30" s="750"/>
      <c r="K30" s="750"/>
      <c r="L30" s="750"/>
    </row>
    <row r="31" spans="1:12">
      <c r="A31" s="849">
        <f t="shared" ref="A31:A42" si="4">+A30+1</f>
        <v>17</v>
      </c>
      <c r="B31" s="800" t="s">
        <v>567</v>
      </c>
      <c r="C31" s="954">
        <v>0</v>
      </c>
      <c r="D31" s="954">
        <v>0</v>
      </c>
      <c r="E31" s="854">
        <v>60600000</v>
      </c>
      <c r="F31" s="854">
        <v>36017918.228028357</v>
      </c>
      <c r="G31" s="954">
        <v>0</v>
      </c>
      <c r="H31" s="855">
        <f t="shared" si="3"/>
        <v>96617918.228028357</v>
      </c>
      <c r="I31" s="750"/>
      <c r="J31" s="750"/>
      <c r="K31" s="750"/>
      <c r="L31" s="750"/>
    </row>
    <row r="32" spans="1:12">
      <c r="A32" s="849">
        <f t="shared" si="4"/>
        <v>18</v>
      </c>
      <c r="B32" s="800" t="s">
        <v>711</v>
      </c>
      <c r="C32" s="954">
        <v>0</v>
      </c>
      <c r="D32" s="954">
        <v>0</v>
      </c>
      <c r="E32" s="854">
        <v>60600000</v>
      </c>
      <c r="F32" s="854">
        <v>35760642.207843244</v>
      </c>
      <c r="G32" s="954">
        <v>0</v>
      </c>
      <c r="H32" s="855">
        <f t="shared" si="3"/>
        <v>96360642.207843244</v>
      </c>
      <c r="I32" s="750"/>
      <c r="J32" s="750"/>
      <c r="K32" s="750"/>
      <c r="L32" s="750"/>
    </row>
    <row r="33" spans="1:12">
      <c r="A33" s="849">
        <f t="shared" si="4"/>
        <v>19</v>
      </c>
      <c r="B33" s="800" t="s">
        <v>569</v>
      </c>
      <c r="C33" s="954">
        <v>0</v>
      </c>
      <c r="D33" s="954">
        <v>0</v>
      </c>
      <c r="E33" s="854">
        <v>60600000</v>
      </c>
      <c r="F33" s="854">
        <v>35106915.657070659</v>
      </c>
      <c r="G33" s="954">
        <v>0</v>
      </c>
      <c r="H33" s="855">
        <f t="shared" si="3"/>
        <v>95706915.657070667</v>
      </c>
      <c r="I33" s="750"/>
      <c r="J33" s="750"/>
      <c r="K33" s="750"/>
      <c r="L33" s="750"/>
    </row>
    <row r="34" spans="1:12">
      <c r="A34" s="849">
        <f t="shared" si="4"/>
        <v>20</v>
      </c>
      <c r="B34" s="800" t="s">
        <v>570</v>
      </c>
      <c r="C34" s="954">
        <v>0</v>
      </c>
      <c r="D34" s="954">
        <v>0</v>
      </c>
      <c r="E34" s="854">
        <v>60600000</v>
      </c>
      <c r="F34" s="854">
        <v>34279566.305784114</v>
      </c>
      <c r="G34" s="954">
        <v>0</v>
      </c>
      <c r="H34" s="855">
        <f>+C34-D34+E34+F34-G34</f>
        <v>94879566.305784106</v>
      </c>
      <c r="I34" s="750"/>
      <c r="J34" s="750"/>
      <c r="K34" s="750"/>
      <c r="L34" s="750"/>
    </row>
    <row r="35" spans="1:12">
      <c r="A35" s="849">
        <f t="shared" si="4"/>
        <v>21</v>
      </c>
      <c r="B35" s="800" t="s">
        <v>571</v>
      </c>
      <c r="C35" s="954">
        <v>0</v>
      </c>
      <c r="D35" s="954">
        <v>0</v>
      </c>
      <c r="E35" s="854">
        <v>60600000</v>
      </c>
      <c r="F35" s="854">
        <v>37159836.437515214</v>
      </c>
      <c r="G35" s="954">
        <v>0</v>
      </c>
      <c r="H35" s="855">
        <f t="shared" si="3"/>
        <v>97759836.437515214</v>
      </c>
      <c r="I35" s="750"/>
      <c r="J35" s="750"/>
      <c r="K35" s="750"/>
      <c r="L35" s="750"/>
    </row>
    <row r="36" spans="1:12">
      <c r="A36" s="849">
        <f t="shared" si="4"/>
        <v>22</v>
      </c>
      <c r="B36" s="800" t="s">
        <v>572</v>
      </c>
      <c r="C36" s="954">
        <v>0</v>
      </c>
      <c r="D36" s="954">
        <v>0</v>
      </c>
      <c r="E36" s="854">
        <v>60600000</v>
      </c>
      <c r="F36" s="854">
        <v>36299980.150782689</v>
      </c>
      <c r="G36" s="954">
        <v>0</v>
      </c>
      <c r="H36" s="855">
        <f t="shared" si="3"/>
        <v>96899980.150782689</v>
      </c>
      <c r="I36" s="750"/>
      <c r="J36" s="750"/>
      <c r="K36" s="750"/>
      <c r="L36" s="750"/>
    </row>
    <row r="37" spans="1:12">
      <c r="A37" s="849">
        <f t="shared" si="4"/>
        <v>23</v>
      </c>
      <c r="B37" s="800" t="s">
        <v>712</v>
      </c>
      <c r="C37" s="954">
        <v>0</v>
      </c>
      <c r="D37" s="954">
        <v>0</v>
      </c>
      <c r="E37" s="854">
        <v>60600000</v>
      </c>
      <c r="F37" s="854">
        <v>35464482.024763621</v>
      </c>
      <c r="G37" s="954">
        <v>0</v>
      </c>
      <c r="H37" s="855">
        <f t="shared" si="3"/>
        <v>96064482.024763614</v>
      </c>
      <c r="I37" s="750"/>
      <c r="J37" s="750"/>
      <c r="K37" s="750"/>
      <c r="L37" s="750"/>
    </row>
    <row r="38" spans="1:12">
      <c r="A38" s="849">
        <f t="shared" si="4"/>
        <v>24</v>
      </c>
      <c r="B38" s="800" t="s">
        <v>574</v>
      </c>
      <c r="C38" s="954">
        <v>0</v>
      </c>
      <c r="D38" s="954">
        <v>0</v>
      </c>
      <c r="E38" s="854">
        <v>60600000</v>
      </c>
      <c r="F38" s="854">
        <v>35400794.592203334</v>
      </c>
      <c r="G38" s="954">
        <v>0</v>
      </c>
      <c r="H38" s="855">
        <f t="shared" si="3"/>
        <v>96000794.592203334</v>
      </c>
      <c r="I38" s="750"/>
      <c r="J38" s="750"/>
      <c r="K38" s="750"/>
      <c r="L38" s="750"/>
    </row>
    <row r="39" spans="1:12">
      <c r="A39" s="849">
        <f t="shared" si="4"/>
        <v>25</v>
      </c>
      <c r="B39" s="800" t="s">
        <v>575</v>
      </c>
      <c r="C39" s="954">
        <v>0</v>
      </c>
      <c r="D39" s="954">
        <v>0</v>
      </c>
      <c r="E39" s="854">
        <v>60600000</v>
      </c>
      <c r="F39" s="854">
        <v>34552331.815921627</v>
      </c>
      <c r="G39" s="954">
        <v>0</v>
      </c>
      <c r="H39" s="855">
        <f t="shared" si="3"/>
        <v>95152331.815921634</v>
      </c>
      <c r="I39" s="750"/>
      <c r="J39" s="750"/>
      <c r="K39" s="750"/>
      <c r="L39" s="750"/>
    </row>
    <row r="40" spans="1:12">
      <c r="A40" s="849">
        <f t="shared" si="4"/>
        <v>26</v>
      </c>
      <c r="B40" s="800" t="s">
        <v>576</v>
      </c>
      <c r="C40" s="954">
        <v>0</v>
      </c>
      <c r="D40" s="954">
        <v>0</v>
      </c>
      <c r="E40" s="854">
        <v>60600000</v>
      </c>
      <c r="F40" s="854">
        <v>33775006.21278882</v>
      </c>
      <c r="G40" s="954">
        <v>0</v>
      </c>
      <c r="H40" s="855">
        <f t="shared" si="3"/>
        <v>94375006.21278882</v>
      </c>
      <c r="I40" s="750"/>
      <c r="J40" s="750"/>
      <c r="K40" s="750"/>
      <c r="L40" s="750"/>
    </row>
    <row r="41" spans="1:12">
      <c r="A41" s="856">
        <f t="shared" si="4"/>
        <v>27</v>
      </c>
      <c r="B41" s="802" t="s">
        <v>713</v>
      </c>
      <c r="C41" s="854">
        <v>0</v>
      </c>
      <c r="D41" s="854">
        <v>0</v>
      </c>
      <c r="E41" s="854">
        <v>60600000</v>
      </c>
      <c r="F41" s="854">
        <v>31669148.048632551</v>
      </c>
      <c r="G41" s="854">
        <v>0</v>
      </c>
      <c r="H41" s="855">
        <f t="shared" si="3"/>
        <v>92269148.048632547</v>
      </c>
      <c r="I41" s="750"/>
      <c r="J41" s="750"/>
      <c r="K41" s="750"/>
      <c r="L41" s="750"/>
    </row>
    <row r="42" spans="1:12" ht="13.5" thickBot="1">
      <c r="A42" s="860">
        <f t="shared" si="4"/>
        <v>28</v>
      </c>
      <c r="B42" s="809" t="s">
        <v>714</v>
      </c>
      <c r="C42" s="824">
        <f t="shared" ref="C42:G42" si="5">(SUM(C29:C41)/13)</f>
        <v>0</v>
      </c>
      <c r="D42" s="824">
        <f t="shared" si="5"/>
        <v>0</v>
      </c>
      <c r="E42" s="824">
        <f t="shared" si="5"/>
        <v>60600000</v>
      </c>
      <c r="F42" s="824">
        <f t="shared" si="5"/>
        <v>31384690.537239391</v>
      </c>
      <c r="G42" s="824">
        <f t="shared" si="5"/>
        <v>0</v>
      </c>
      <c r="H42" s="857">
        <f t="shared" ref="H42" si="6">ROUND(SUM(H29:H41)/13,-3)</f>
        <v>91985000</v>
      </c>
      <c r="I42" s="750"/>
      <c r="J42" s="750"/>
      <c r="K42" s="750"/>
      <c r="L42" s="750"/>
    </row>
    <row r="43" spans="1:12" ht="13.5" thickTop="1">
      <c r="A43" s="841"/>
      <c r="B43" s="861"/>
      <c r="C43" s="862"/>
      <c r="D43" s="863"/>
      <c r="E43" s="863"/>
      <c r="F43" s="863"/>
      <c r="G43" s="862"/>
      <c r="H43" s="862"/>
      <c r="I43" s="750"/>
      <c r="J43" s="750"/>
      <c r="K43" s="750"/>
      <c r="L43" s="750"/>
    </row>
    <row r="44" spans="1:12" ht="12.75" customHeight="1">
      <c r="A44" s="864" t="s">
        <v>748</v>
      </c>
      <c r="F44" s="865"/>
      <c r="G44" s="865"/>
      <c r="H44" s="865"/>
      <c r="I44" s="750"/>
      <c r="J44" s="750"/>
      <c r="K44" s="750"/>
    </row>
    <row r="45" spans="1:12">
      <c r="E45" s="865"/>
      <c r="F45" s="865"/>
      <c r="G45" s="865"/>
      <c r="H45" s="865"/>
      <c r="J45" s="861"/>
    </row>
    <row r="46" spans="1:12" ht="15">
      <c r="A46" s="867" t="s">
        <v>332</v>
      </c>
      <c r="E46" s="865"/>
      <c r="F46" s="865"/>
      <c r="G46" s="865"/>
      <c r="H46" s="751"/>
    </row>
    <row r="47" spans="1:12" ht="15">
      <c r="A47" s="867"/>
      <c r="B47" s="868" t="s">
        <v>706</v>
      </c>
      <c r="C47" s="868" t="s">
        <v>721</v>
      </c>
      <c r="D47" s="869" t="s">
        <v>722</v>
      </c>
      <c r="E47" s="868" t="s">
        <v>707</v>
      </c>
      <c r="F47" s="869" t="s">
        <v>708</v>
      </c>
      <c r="G47" s="868" t="s">
        <v>741</v>
      </c>
      <c r="H47" s="868" t="s">
        <v>749</v>
      </c>
    </row>
    <row r="48" spans="1:12">
      <c r="A48" s="496">
        <f>+A42+1</f>
        <v>29</v>
      </c>
      <c r="B48" s="870" t="str">
        <f>"Annual Interest Expense for "&amp;TCOS!L4</f>
        <v>Annual Interest Expense for 2026</v>
      </c>
      <c r="C48" s="871"/>
      <c r="D48" s="872"/>
      <c r="E48" s="873"/>
      <c r="F48" s="873"/>
      <c r="G48" s="873"/>
      <c r="H48" s="873"/>
      <c r="I48" s="873"/>
      <c r="J48" s="873"/>
      <c r="K48" s="873"/>
      <c r="L48" s="873"/>
    </row>
    <row r="49" spans="1:12">
      <c r="A49" s="496">
        <f>+A48+1</f>
        <v>30</v>
      </c>
      <c r="B49" s="928" t="s">
        <v>766</v>
      </c>
      <c r="C49" s="871"/>
      <c r="D49" s="872"/>
      <c r="E49" s="875">
        <v>4180564.1414737636</v>
      </c>
      <c r="F49" s="873"/>
      <c r="G49" s="873"/>
      <c r="H49" s="873"/>
      <c r="I49" s="873"/>
      <c r="J49" s="873"/>
      <c r="K49" s="873"/>
      <c r="L49" s="873"/>
    </row>
    <row r="50" spans="1:12" ht="28.5" customHeight="1">
      <c r="A50" s="496">
        <f t="shared" ref="A50:A55" si="7">+A49+1</f>
        <v>31</v>
      </c>
      <c r="B50" s="1203" t="str">
        <f>"Less: Total Hedge Gain/Expense Accumulated from p 256-257, col. (i) of FERC Form 1  included in Ln "&amp;A49&amp;" and shown in "&amp;A68&amp;" below."</f>
        <v>Less: Total Hedge Gain/Expense Accumulated from p 256-257, col. (i) of FERC Form 1  included in Ln 30 and shown in 43 below.</v>
      </c>
      <c r="C50" s="1204"/>
      <c r="D50" s="872"/>
      <c r="E50" s="871">
        <f>+C68</f>
        <v>0</v>
      </c>
      <c r="F50" s="873"/>
      <c r="G50" s="873"/>
      <c r="H50" s="873"/>
      <c r="I50" s="873"/>
      <c r="J50" s="873"/>
      <c r="K50" s="873"/>
      <c r="L50" s="873"/>
    </row>
    <row r="51" spans="1:12">
      <c r="A51" s="496">
        <f t="shared" si="7"/>
        <v>32</v>
      </c>
      <c r="B51" s="928" t="s">
        <v>767</v>
      </c>
      <c r="C51" s="873"/>
      <c r="D51" s="873"/>
      <c r="E51" s="875">
        <v>0</v>
      </c>
      <c r="F51" s="873"/>
      <c r="G51" s="873"/>
      <c r="H51" s="873"/>
      <c r="I51" s="873"/>
      <c r="J51" s="873"/>
    </row>
    <row r="52" spans="1:12">
      <c r="A52" s="496">
        <f t="shared" si="7"/>
        <v>33</v>
      </c>
      <c r="B52" s="928" t="s">
        <v>768</v>
      </c>
      <c r="C52" s="876"/>
      <c r="D52" s="872"/>
      <c r="E52" s="875">
        <v>0</v>
      </c>
      <c r="F52" s="873"/>
      <c r="G52" s="873"/>
      <c r="H52" s="873"/>
      <c r="I52" s="873"/>
      <c r="J52" s="873"/>
    </row>
    <row r="53" spans="1:12">
      <c r="A53" s="496">
        <f t="shared" si="7"/>
        <v>34</v>
      </c>
      <c r="B53" s="928" t="s">
        <v>769</v>
      </c>
      <c r="C53" s="876"/>
      <c r="D53" s="872"/>
      <c r="E53" s="875">
        <v>0</v>
      </c>
      <c r="F53" s="873"/>
      <c r="G53" s="873"/>
      <c r="H53" s="873"/>
      <c r="I53" s="873"/>
      <c r="J53" s="873"/>
    </row>
    <row r="54" spans="1:12" ht="13.5" thickBot="1">
      <c r="A54" s="496">
        <f t="shared" si="7"/>
        <v>35</v>
      </c>
      <c r="B54" s="928" t="s">
        <v>770</v>
      </c>
      <c r="C54" s="876"/>
      <c r="D54" s="872"/>
      <c r="E54" s="877">
        <v>0</v>
      </c>
      <c r="F54" s="873"/>
      <c r="G54" s="873"/>
      <c r="H54" s="873"/>
      <c r="I54" s="873"/>
      <c r="J54" s="873"/>
    </row>
    <row r="55" spans="1:12">
      <c r="A55" s="496">
        <f t="shared" si="7"/>
        <v>36</v>
      </c>
      <c r="B55" s="870" t="str">
        <f>"Total Interest Expense (Ln "&amp;A49&amp;" - "&amp;A50&amp;" + "&amp;A51&amp;" + "&amp;A52&amp;" - "&amp;A53&amp;" - "&amp;A54&amp;")"</f>
        <v>Total Interest Expense (Ln 30 - 31 + 32 + 33 - 34 - 35)</v>
      </c>
      <c r="C55" s="878"/>
      <c r="D55" s="879"/>
      <c r="E55" s="880">
        <f>+E49-E50+E51+E52-E53-E54</f>
        <v>4180564.1414737636</v>
      </c>
      <c r="F55" s="873"/>
      <c r="G55" s="873"/>
      <c r="H55" s="873"/>
      <c r="I55" s="873"/>
      <c r="J55" s="873"/>
    </row>
    <row r="56" spans="1:12" ht="13.5" thickBot="1">
      <c r="A56" s="496"/>
      <c r="B56" s="874"/>
      <c r="C56" s="876"/>
      <c r="D56" s="872"/>
      <c r="E56" s="881"/>
      <c r="F56" s="873"/>
      <c r="G56" s="873"/>
      <c r="H56" s="873"/>
      <c r="I56" s="873"/>
      <c r="J56" s="873"/>
    </row>
    <row r="57" spans="1:12" ht="13.5" thickBot="1">
      <c r="A57" s="496">
        <f>+A55+1</f>
        <v>37</v>
      </c>
      <c r="B57" s="870" t="str">
        <f>"Average Cost of Debt for "&amp;TCOS!L4&amp;" (Ln "&amp;A55&amp;"/ ln "&amp;A42&amp;" (g))"</f>
        <v>Average Cost of Debt for 2026 (Ln 36/ ln 28 (g))</v>
      </c>
      <c r="C57" s="878"/>
      <c r="D57" s="872"/>
      <c r="E57" s="882">
        <f>+E55/H42</f>
        <v>4.5448324634166044E-2</v>
      </c>
      <c r="F57" s="873"/>
      <c r="G57" s="873"/>
      <c r="H57" s="873"/>
      <c r="I57" s="873"/>
      <c r="J57" s="873"/>
    </row>
    <row r="58" spans="1:12">
      <c r="A58" s="883"/>
      <c r="B58" s="874"/>
      <c r="C58" s="876"/>
      <c r="D58" s="872"/>
      <c r="E58" s="876"/>
      <c r="F58" s="873"/>
      <c r="G58" s="873"/>
      <c r="H58" s="873"/>
      <c r="I58" s="873"/>
      <c r="J58" s="873"/>
    </row>
    <row r="59" spans="1:12" ht="16.5" customHeight="1">
      <c r="A59" s="884"/>
      <c r="B59" s="1205" t="s">
        <v>750</v>
      </c>
      <c r="C59" s="1205"/>
      <c r="D59" s="1205"/>
      <c r="E59" s="1205"/>
      <c r="F59" s="885"/>
      <c r="G59" s="873"/>
      <c r="H59" s="873"/>
      <c r="I59" s="873"/>
      <c r="J59" s="873"/>
    </row>
    <row r="60" spans="1:12" ht="21" customHeight="1">
      <c r="A60" s="886">
        <f>+A57+1</f>
        <v>38</v>
      </c>
      <c r="B60" s="1206" t="str">
        <f>""&amp;A4&amp;" may not include costs (or gains) related to interest hedging activities."</f>
        <v>AEP Appalachian Transmission Company may not include costs (or gains) related to interest hedging activities.</v>
      </c>
      <c r="C60" s="1206"/>
      <c r="D60" s="1206"/>
      <c r="E60" s="1206"/>
      <c r="F60" s="1206"/>
      <c r="G60" s="887"/>
      <c r="H60" s="887"/>
      <c r="I60" s="873"/>
      <c r="J60" s="873"/>
    </row>
    <row r="61" spans="1:12">
      <c r="A61" s="888"/>
      <c r="B61" s="889"/>
      <c r="C61" s="889"/>
      <c r="D61" s="889"/>
      <c r="E61" s="1207" t="s">
        <v>219</v>
      </c>
      <c r="F61" s="1207"/>
      <c r="G61" s="750"/>
      <c r="H61" s="750"/>
      <c r="I61" s="873"/>
      <c r="J61" s="873"/>
    </row>
    <row r="62" spans="1:12" ht="38.25">
      <c r="A62" s="496"/>
      <c r="B62" s="891" t="s">
        <v>220</v>
      </c>
      <c r="C62" s="891" t="str">
        <f>"(Amortization of (Gain)/Loss for "&amp;TCOS!L4</f>
        <v>(Amortization of (Gain)/Loss for 2026</v>
      </c>
      <c r="D62" s="890" t="s">
        <v>221</v>
      </c>
      <c r="E62" s="890" t="s">
        <v>78</v>
      </c>
      <c r="F62" s="890" t="s">
        <v>80</v>
      </c>
      <c r="G62" s="750"/>
      <c r="H62" s="750"/>
      <c r="I62" s="873"/>
      <c r="J62" s="873"/>
    </row>
    <row r="63" spans="1:12">
      <c r="A63" s="496">
        <f>+A60+1</f>
        <v>39</v>
      </c>
      <c r="B63" s="892"/>
      <c r="C63" s="859"/>
      <c r="D63" s="892"/>
      <c r="E63" s="892"/>
      <c r="F63" s="893"/>
      <c r="G63" s="750"/>
      <c r="H63" s="750"/>
      <c r="I63" s="873"/>
      <c r="J63" s="873"/>
    </row>
    <row r="64" spans="1:12">
      <c r="A64" s="496">
        <f>+A63+1</f>
        <v>40</v>
      </c>
      <c r="B64" s="892"/>
      <c r="C64" s="859"/>
      <c r="D64" s="892"/>
      <c r="E64" s="892"/>
      <c r="F64" s="893"/>
      <c r="G64" s="894"/>
      <c r="H64" s="894"/>
      <c r="I64" s="873"/>
      <c r="J64" s="873"/>
    </row>
    <row r="65" spans="1:10">
      <c r="A65" s="496">
        <f>+A64+1</f>
        <v>41</v>
      </c>
      <c r="B65" s="892"/>
      <c r="C65" s="859"/>
      <c r="D65" s="895"/>
      <c r="E65" s="895"/>
      <c r="F65" s="893"/>
      <c r="G65" s="894"/>
      <c r="H65" s="894"/>
      <c r="I65" s="873"/>
      <c r="J65" s="873"/>
    </row>
    <row r="66" spans="1:10">
      <c r="A66" s="496">
        <f>+A65+1</f>
        <v>42</v>
      </c>
      <c r="B66" s="892"/>
      <c r="C66" s="859"/>
      <c r="D66" s="895"/>
      <c r="E66" s="895"/>
      <c r="F66" s="896"/>
      <c r="G66" s="897"/>
      <c r="H66" s="898"/>
      <c r="I66" s="873"/>
      <c r="J66" s="873"/>
    </row>
    <row r="67" spans="1:10">
      <c r="A67" s="496"/>
      <c r="B67" s="873"/>
      <c r="C67" s="899"/>
      <c r="D67" s="899"/>
      <c r="E67" s="900"/>
      <c r="F67" s="873"/>
      <c r="G67" s="873"/>
      <c r="H67" s="873"/>
    </row>
    <row r="68" spans="1:10">
      <c r="A68" s="496">
        <f>+A66+1</f>
        <v>43</v>
      </c>
      <c r="B68" s="901" t="s">
        <v>245</v>
      </c>
      <c r="C68" s="881">
        <f>SUM(C63:C67)</f>
        <v>0</v>
      </c>
      <c r="D68" s="881">
        <f>SUM(D63:D67)</f>
        <v>0</v>
      </c>
      <c r="E68" s="881">
        <f>SUM(E63:E67)</f>
        <v>0</v>
      </c>
      <c r="F68" s="902">
        <f>SUM(F63:F67)</f>
        <v>0</v>
      </c>
      <c r="G68" s="873"/>
      <c r="H68" s="873"/>
    </row>
    <row r="69" spans="1:10">
      <c r="A69" s="496"/>
      <c r="B69" s="874"/>
      <c r="C69" s="881"/>
      <c r="D69" s="881"/>
      <c r="E69" s="881"/>
      <c r="F69" s="873"/>
      <c r="G69" s="873"/>
      <c r="H69" s="873"/>
    </row>
    <row r="70" spans="1:10">
      <c r="A70" s="496"/>
      <c r="B70" s="870"/>
      <c r="C70" s="876"/>
      <c r="D70" s="872"/>
      <c r="E70" s="903"/>
      <c r="F70" s="873"/>
      <c r="G70" s="873"/>
      <c r="H70" s="873"/>
    </row>
    <row r="71" spans="1:10">
      <c r="A71" s="496"/>
      <c r="B71" s="870"/>
      <c r="C71" s="876"/>
      <c r="D71" s="872"/>
      <c r="E71" s="903"/>
      <c r="F71" s="873"/>
      <c r="G71" s="873"/>
      <c r="H71" s="873"/>
    </row>
    <row r="72" spans="1:10" ht="15">
      <c r="A72" s="904" t="s">
        <v>337</v>
      </c>
      <c r="B72" s="870"/>
      <c r="C72" s="876"/>
      <c r="D72" s="872"/>
      <c r="E72" s="903"/>
      <c r="F72" s="873"/>
      <c r="G72" s="873"/>
      <c r="H72" s="873"/>
    </row>
    <row r="73" spans="1:10">
      <c r="A73" s="496"/>
      <c r="B73" s="870"/>
      <c r="C73" s="876"/>
      <c r="D73" s="872"/>
      <c r="E73" s="903"/>
      <c r="F73" s="873"/>
      <c r="G73" s="873"/>
      <c r="H73" s="873"/>
    </row>
    <row r="74" spans="1:10">
      <c r="A74" s="905">
        <f>+A68+1</f>
        <v>44</v>
      </c>
      <c r="B74" s="872" t="str">
        <f>"Balance of Preferred Stock (Line "&amp;A23&amp;" (c))"</f>
        <v>Balance of Preferred Stock (Line 14 (c))</v>
      </c>
      <c r="E74" s="906">
        <f>+D23</f>
        <v>0</v>
      </c>
    </row>
    <row r="75" spans="1:10">
      <c r="A75" s="496">
        <f>+A74+1</f>
        <v>45</v>
      </c>
      <c r="B75" s="872" t="s">
        <v>751</v>
      </c>
      <c r="E75" s="896"/>
    </row>
    <row r="76" spans="1:10">
      <c r="A76" s="496">
        <f>+A75+1</f>
        <v>46</v>
      </c>
      <c r="B76" s="872" t="str">
        <f>"Average Cost of Preferred Stock (Ln "&amp;A75&amp;" / ln "&amp;A74&amp;")"</f>
        <v>Average Cost of Preferred Stock (Ln 45 / ln 44)</v>
      </c>
      <c r="E76" s="907"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abSelected="1" topLeftCell="A9" zoomScale="90" zoomScaleNormal="90" zoomScaleSheetLayoutView="70" workbookViewId="0">
      <selection activeCell="L25" sqref="L25"/>
    </sheetView>
  </sheetViews>
  <sheetFormatPr defaultColWidth="11.42578125" defaultRowHeight="12.75"/>
  <cols>
    <col min="1" max="1" width="10.28515625" style="825" customWidth="1"/>
    <col min="2" max="2" width="52.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40" t="str">
        <f>TCOS!F5</f>
        <v>AEPTCo subsidiaries in PJM</v>
      </c>
      <c r="B1" s="1140" t="s">
        <v>321</v>
      </c>
      <c r="C1" s="1140" t="s">
        <v>321</v>
      </c>
      <c r="D1" s="1140" t="s">
        <v>321</v>
      </c>
      <c r="E1" s="1140" t="s">
        <v>321</v>
      </c>
      <c r="F1" s="1140" t="s">
        <v>321</v>
      </c>
      <c r="G1" s="1140" t="s">
        <v>321</v>
      </c>
      <c r="H1" s="47"/>
      <c r="I1" s="47"/>
    </row>
    <row r="2" spans="1:12" ht="15">
      <c r="A2" s="1141" t="str">
        <f>"Cost of Service Formula Rate Using Actual/Projected FF1 Balances"</f>
        <v>Cost of Service Formula Rate Using Actual/Projected FF1 Balances</v>
      </c>
      <c r="B2" s="1141"/>
      <c r="C2" s="1141"/>
      <c r="D2" s="1141"/>
      <c r="E2" s="1141"/>
      <c r="F2" s="1141"/>
      <c r="G2" s="1141"/>
      <c r="H2" s="47"/>
      <c r="I2" s="47"/>
      <c r="J2" s="47"/>
      <c r="L2" s="786"/>
    </row>
    <row r="3" spans="1:12" ht="15">
      <c r="A3" s="1141" t="s">
        <v>699</v>
      </c>
      <c r="B3" s="1141"/>
      <c r="C3" s="1141"/>
      <c r="D3" s="1141"/>
      <c r="E3" s="1141"/>
      <c r="F3" s="1141"/>
      <c r="G3" s="1141"/>
      <c r="H3" s="47"/>
      <c r="I3" s="47"/>
      <c r="J3" s="47"/>
    </row>
    <row r="4" spans="1:12" ht="15">
      <c r="A4" s="1142" t="str">
        <f>TCOS!F9</f>
        <v>AEP Appalachian Transmission Company</v>
      </c>
      <c r="B4" s="1142"/>
      <c r="C4" s="1142"/>
      <c r="D4" s="1142"/>
      <c r="E4" s="1142"/>
      <c r="F4" s="1142"/>
      <c r="G4" s="1142"/>
      <c r="H4" s="47"/>
      <c r="I4" s="47"/>
      <c r="J4" s="47"/>
    </row>
    <row r="5" spans="1:12">
      <c r="A5" s="47"/>
      <c r="B5" s="787"/>
      <c r="C5" s="787"/>
      <c r="D5" s="787"/>
      <c r="E5" s="788"/>
      <c r="F5" s="789"/>
      <c r="H5" s="789"/>
      <c r="J5" s="789"/>
      <c r="L5" s="789"/>
    </row>
    <row r="6" spans="1:12" ht="12.75" customHeight="1">
      <c r="A6" s="47"/>
      <c r="B6" s="787"/>
      <c r="C6" s="1143" t="s">
        <v>700</v>
      </c>
      <c r="D6" s="1144"/>
      <c r="E6" s="1144"/>
      <c r="F6" s="1144"/>
      <c r="G6" s="1144"/>
      <c r="H6" s="1144"/>
      <c r="I6" s="1145"/>
      <c r="J6" s="790"/>
      <c r="K6" s="790"/>
    </row>
    <row r="7" spans="1:12" s="524" customFormat="1" ht="25.5">
      <c r="A7" s="791" t="s">
        <v>701</v>
      </c>
      <c r="B7" s="792" t="s">
        <v>702</v>
      </c>
      <c r="C7" s="793" t="s">
        <v>407</v>
      </c>
      <c r="D7" s="793" t="s">
        <v>703</v>
      </c>
      <c r="E7" s="793" t="s">
        <v>128</v>
      </c>
      <c r="F7" s="793" t="s">
        <v>704</v>
      </c>
      <c r="G7" s="1084" t="s">
        <v>705</v>
      </c>
      <c r="H7" s="1089"/>
      <c r="I7" s="1090"/>
      <c r="L7" s="3"/>
    </row>
    <row r="8" spans="1:12" s="796" customFormat="1">
      <c r="A8" s="794"/>
      <c r="B8" s="795" t="s">
        <v>706</v>
      </c>
      <c r="C8" s="1083" t="s">
        <v>721</v>
      </c>
      <c r="D8" s="1083" t="s">
        <v>722</v>
      </c>
      <c r="E8" s="1083" t="s">
        <v>707</v>
      </c>
      <c r="F8" s="1083" t="s">
        <v>708</v>
      </c>
      <c r="G8" s="1085" t="s">
        <v>741</v>
      </c>
      <c r="H8" s="1083"/>
      <c r="I8" s="1091"/>
      <c r="L8" s="3"/>
    </row>
    <row r="9" spans="1:12" s="796" customFormat="1" ht="44.25" customHeight="1">
      <c r="A9" s="794"/>
      <c r="B9" s="795" t="s">
        <v>709</v>
      </c>
      <c r="C9" s="797" t="s">
        <v>223</v>
      </c>
      <c r="D9" s="797" t="s">
        <v>224</v>
      </c>
      <c r="E9" s="797" t="s">
        <v>225</v>
      </c>
      <c r="F9" s="797" t="s">
        <v>226</v>
      </c>
      <c r="G9" s="797" t="s">
        <v>227</v>
      </c>
      <c r="H9" s="1092"/>
      <c r="I9" s="1093"/>
      <c r="L9" s="3"/>
    </row>
    <row r="10" spans="1:12">
      <c r="A10" s="794">
        <v>1</v>
      </c>
      <c r="B10" s="798" t="s">
        <v>710</v>
      </c>
      <c r="C10" s="1067">
        <v>156719941.01602846</v>
      </c>
      <c r="D10" s="799"/>
      <c r="E10" s="1067">
        <v>2199678.527755003</v>
      </c>
      <c r="F10" s="799"/>
      <c r="G10" s="1067"/>
      <c r="H10" s="1071"/>
      <c r="I10" s="1072"/>
    </row>
    <row r="11" spans="1:12">
      <c r="A11" s="794">
        <f>+A10+1</f>
        <v>2</v>
      </c>
      <c r="B11" s="798" t="s">
        <v>566</v>
      </c>
      <c r="C11" s="1068">
        <v>157255939.68998444</v>
      </c>
      <c r="D11" s="952"/>
      <c r="E11" s="1068">
        <v>2200212.2263567541</v>
      </c>
      <c r="F11" s="952"/>
      <c r="G11" s="1068"/>
      <c r="H11" s="1071"/>
      <c r="I11" s="1072"/>
    </row>
    <row r="12" spans="1:12">
      <c r="A12" s="794">
        <f t="shared" ref="A12:A23" si="0">+A11+1</f>
        <v>3</v>
      </c>
      <c r="B12" s="800" t="s">
        <v>567</v>
      </c>
      <c r="C12" s="1068">
        <v>157924208.79393771</v>
      </c>
      <c r="D12" s="952"/>
      <c r="E12" s="1068">
        <v>2200766.8940207809</v>
      </c>
      <c r="F12" s="952"/>
      <c r="G12" s="1068"/>
      <c r="H12" s="1071"/>
      <c r="I12" s="1072"/>
    </row>
    <row r="13" spans="1:12">
      <c r="A13" s="794">
        <f t="shared" si="0"/>
        <v>4</v>
      </c>
      <c r="B13" s="800" t="s">
        <v>711</v>
      </c>
      <c r="C13" s="1068">
        <v>158745309.68555552</v>
      </c>
      <c r="D13" s="952"/>
      <c r="E13" s="1068">
        <v>2139892.4502691478</v>
      </c>
      <c r="F13" s="952"/>
      <c r="G13" s="1068"/>
      <c r="H13" s="1071"/>
      <c r="I13" s="1072"/>
    </row>
    <row r="14" spans="1:12">
      <c r="A14" s="794">
        <f t="shared" si="0"/>
        <v>5</v>
      </c>
      <c r="B14" s="800" t="s">
        <v>569</v>
      </c>
      <c r="C14" s="1068">
        <v>159303660.12424687</v>
      </c>
      <c r="D14" s="952"/>
      <c r="E14" s="1068">
        <v>2140305.1099312915</v>
      </c>
      <c r="F14" s="952"/>
      <c r="G14" s="1068"/>
      <c r="H14" s="1071"/>
      <c r="I14" s="1072"/>
    </row>
    <row r="15" spans="1:12">
      <c r="A15" s="794">
        <f t="shared" si="0"/>
        <v>6</v>
      </c>
      <c r="B15" s="800" t="s">
        <v>570</v>
      </c>
      <c r="C15" s="1068">
        <v>159861338.78050861</v>
      </c>
      <c r="D15" s="952"/>
      <c r="E15" s="1068">
        <v>2138793.5242297491</v>
      </c>
      <c r="F15" s="952"/>
      <c r="G15" s="1068"/>
      <c r="H15" s="1071"/>
      <c r="I15" s="1072"/>
    </row>
    <row r="16" spans="1:12">
      <c r="A16" s="794">
        <f t="shared" si="0"/>
        <v>7</v>
      </c>
      <c r="B16" s="800" t="s">
        <v>571</v>
      </c>
      <c r="C16" s="1068">
        <v>160414087.73302189</v>
      </c>
      <c r="D16" s="952"/>
      <c r="E16" s="1068">
        <v>2099104.3591282945</v>
      </c>
      <c r="F16" s="952"/>
      <c r="G16" s="1068"/>
      <c r="H16" s="1071"/>
      <c r="I16" s="1072"/>
    </row>
    <row r="17" spans="1:12">
      <c r="A17" s="794">
        <f t="shared" si="0"/>
        <v>8</v>
      </c>
      <c r="B17" s="800" t="s">
        <v>572</v>
      </c>
      <c r="C17" s="1068">
        <v>160978403.01164404</v>
      </c>
      <c r="D17" s="952"/>
      <c r="E17" s="1068">
        <v>2103067.3924353071</v>
      </c>
      <c r="F17" s="952"/>
      <c r="G17" s="1068"/>
      <c r="H17" s="1071"/>
      <c r="I17" s="1072"/>
    </row>
    <row r="18" spans="1:12">
      <c r="A18" s="794">
        <f t="shared" si="0"/>
        <v>9</v>
      </c>
      <c r="B18" s="800" t="s">
        <v>712</v>
      </c>
      <c r="C18" s="1068">
        <v>161542732.02162328</v>
      </c>
      <c r="D18" s="952"/>
      <c r="E18" s="1068">
        <v>2106915.9226552909</v>
      </c>
      <c r="F18" s="952"/>
      <c r="G18" s="1068"/>
      <c r="H18" s="1071"/>
      <c r="I18" s="1072"/>
    </row>
    <row r="19" spans="1:12">
      <c r="A19" s="794">
        <f t="shared" si="0"/>
        <v>10</v>
      </c>
      <c r="B19" s="800" t="s">
        <v>574</v>
      </c>
      <c r="C19" s="1068">
        <v>162098904.22135124</v>
      </c>
      <c r="D19" s="952"/>
      <c r="E19" s="1068">
        <v>2059999.0135664763</v>
      </c>
      <c r="F19" s="952"/>
      <c r="G19" s="1068"/>
      <c r="H19" s="1071"/>
      <c r="I19" s="1072"/>
    </row>
    <row r="20" spans="1:12">
      <c r="A20" s="794">
        <f t="shared" si="0"/>
        <v>11</v>
      </c>
      <c r="B20" s="800" t="s">
        <v>575</v>
      </c>
      <c r="C20" s="1068">
        <v>162662524.11012924</v>
      </c>
      <c r="D20" s="952"/>
      <c r="E20" s="1068">
        <v>2063998.3696747702</v>
      </c>
      <c r="F20" s="952"/>
      <c r="G20" s="1068"/>
      <c r="H20" s="1071"/>
      <c r="I20" s="1072"/>
    </row>
    <row r="21" spans="1:12">
      <c r="A21" s="794">
        <f t="shared" si="0"/>
        <v>12</v>
      </c>
      <c r="B21" s="800" t="s">
        <v>576</v>
      </c>
      <c r="C21" s="1068">
        <v>163251839.67381024</v>
      </c>
      <c r="D21" s="952"/>
      <c r="E21" s="1068">
        <v>2067998.3086413145</v>
      </c>
      <c r="F21" s="952"/>
      <c r="G21" s="1068"/>
      <c r="H21" s="1071"/>
      <c r="I21" s="1072"/>
    </row>
    <row r="22" spans="1:12">
      <c r="A22" s="801">
        <f t="shared" si="0"/>
        <v>13</v>
      </c>
      <c r="B22" s="802" t="s">
        <v>713</v>
      </c>
      <c r="C22" s="1069">
        <v>163808019.33873373</v>
      </c>
      <c r="D22" s="799"/>
      <c r="E22" s="1069">
        <v>2005265.0146146975</v>
      </c>
      <c r="F22" s="799"/>
      <c r="G22" s="1069"/>
      <c r="H22" s="1071"/>
      <c r="I22" s="1073"/>
    </row>
    <row r="23" spans="1:12" ht="13.5" thickBot="1">
      <c r="A23" s="801">
        <f t="shared" si="0"/>
        <v>14</v>
      </c>
      <c r="B23" s="803" t="s">
        <v>714</v>
      </c>
      <c r="C23" s="804">
        <f>SUM(C10:C22)/13</f>
        <v>160351300.63081348</v>
      </c>
      <c r="D23" s="804">
        <f t="shared" ref="D23:G23" si="1">SUM(D10:D22)/13</f>
        <v>0</v>
      </c>
      <c r="E23" s="804">
        <f t="shared" si="1"/>
        <v>2117384.3933291445</v>
      </c>
      <c r="F23" s="804">
        <f t="shared" si="1"/>
        <v>0</v>
      </c>
      <c r="G23" s="804">
        <f t="shared" si="1"/>
        <v>0</v>
      </c>
      <c r="H23" s="1074"/>
      <c r="I23" s="1075"/>
    </row>
    <row r="24" spans="1:12" ht="13.5" thickTop="1">
      <c r="A24" s="47"/>
      <c r="B24" s="805"/>
      <c r="C24" s="806"/>
      <c r="D24" s="807"/>
      <c r="E24" s="807"/>
      <c r="F24" s="807"/>
      <c r="G24" s="806"/>
      <c r="H24" s="806"/>
      <c r="I24" s="806"/>
    </row>
    <row r="25" spans="1:12" ht="12.75" customHeight="1">
      <c r="A25" s="47"/>
      <c r="B25" s="787"/>
      <c r="C25" s="1146" t="s">
        <v>715</v>
      </c>
      <c r="D25" s="1147"/>
      <c r="E25" s="1147"/>
      <c r="F25" s="1147"/>
      <c r="G25" s="1147"/>
      <c r="H25" s="1147"/>
      <c r="I25" s="1148"/>
      <c r="J25"/>
      <c r="K25"/>
    </row>
    <row r="26" spans="1:12" s="524" customFormat="1" ht="25.5">
      <c r="A26" s="791" t="s">
        <v>701</v>
      </c>
      <c r="B26" s="792" t="s">
        <v>702</v>
      </c>
      <c r="C26" s="793" t="s">
        <v>407</v>
      </c>
      <c r="D26" s="793" t="s">
        <v>703</v>
      </c>
      <c r="E26" s="793" t="s">
        <v>128</v>
      </c>
      <c r="F26" s="793" t="s">
        <v>704</v>
      </c>
      <c r="G26" s="1084" t="s">
        <v>705</v>
      </c>
      <c r="H26" s="1094"/>
      <c r="I26" s="1095"/>
      <c r="J26"/>
      <c r="K26"/>
      <c r="L26" s="3"/>
    </row>
    <row r="27" spans="1:12" s="796" customFormat="1">
      <c r="A27" s="794"/>
      <c r="B27" s="795" t="s">
        <v>706</v>
      </c>
      <c r="C27" s="1083" t="s">
        <v>721</v>
      </c>
      <c r="D27" s="1083" t="s">
        <v>722</v>
      </c>
      <c r="E27" s="1083" t="s">
        <v>707</v>
      </c>
      <c r="F27" s="1083" t="s">
        <v>708</v>
      </c>
      <c r="G27" s="1085" t="s">
        <v>741</v>
      </c>
      <c r="H27" s="1083"/>
      <c r="I27" s="1091"/>
      <c r="J27"/>
      <c r="K27"/>
      <c r="L27" s="3"/>
    </row>
    <row r="28" spans="1:12" s="796" customFormat="1" ht="44.25" customHeight="1">
      <c r="A28" s="794"/>
      <c r="B28" s="795" t="s">
        <v>709</v>
      </c>
      <c r="C28" s="797" t="s">
        <v>172</v>
      </c>
      <c r="D28" s="797" t="str">
        <f>"Company Records (Included in total in Column "&amp;C27&amp;")"</f>
        <v>Company Records (Included in total in Column (b))</v>
      </c>
      <c r="E28" s="797" t="s">
        <v>8</v>
      </c>
      <c r="F28" s="797" t="str">
        <f>"Company Records (Included in total in Column "&amp;E27&amp;")"</f>
        <v>Company Records (Included in total in Column (d))</v>
      </c>
      <c r="G28" s="797" t="s">
        <v>294</v>
      </c>
      <c r="H28" s="1092"/>
      <c r="I28" s="1093"/>
      <c r="J28"/>
      <c r="K28"/>
      <c r="L28" s="3"/>
    </row>
    <row r="29" spans="1:12">
      <c r="A29" s="794">
        <f>+A23+1</f>
        <v>15</v>
      </c>
      <c r="B29" s="798" t="s">
        <v>710</v>
      </c>
      <c r="C29" s="1067">
        <v>17340695.324258987</v>
      </c>
      <c r="D29" s="799"/>
      <c r="E29" s="1067">
        <v>766702.50442586187</v>
      </c>
      <c r="F29" s="799"/>
      <c r="G29" s="1067"/>
      <c r="H29" s="1071"/>
      <c r="I29" s="1076"/>
      <c r="J29"/>
      <c r="K29"/>
    </row>
    <row r="30" spans="1:12">
      <c r="A30" s="794">
        <f>+A29+1</f>
        <v>16</v>
      </c>
      <c r="B30" s="798" t="s">
        <v>566</v>
      </c>
      <c r="C30" s="1068">
        <v>17697397.173938498</v>
      </c>
      <c r="D30" s="952"/>
      <c r="E30" s="1068">
        <v>789794.65664917335</v>
      </c>
      <c r="F30" s="952"/>
      <c r="G30" s="1068"/>
      <c r="H30" s="1071"/>
      <c r="I30" s="1072"/>
      <c r="J30"/>
      <c r="K30"/>
    </row>
    <row r="31" spans="1:12">
      <c r="A31" s="794">
        <f t="shared" ref="A31:A42" si="2">+A30+1</f>
        <v>17</v>
      </c>
      <c r="B31" s="800" t="s">
        <v>567</v>
      </c>
      <c r="C31" s="1068">
        <v>18055597.982796852</v>
      </c>
      <c r="D31" s="952"/>
      <c r="E31" s="1068">
        <v>812887.95187699015</v>
      </c>
      <c r="F31" s="952"/>
      <c r="G31" s="1068"/>
      <c r="H31" s="1071"/>
      <c r="I31" s="1072"/>
      <c r="J31"/>
      <c r="K31"/>
    </row>
    <row r="32" spans="1:12">
      <c r="A32" s="794">
        <f t="shared" si="2"/>
        <v>18</v>
      </c>
      <c r="B32" s="800" t="s">
        <v>711</v>
      </c>
      <c r="C32" s="1068">
        <v>18405323.788897656</v>
      </c>
      <c r="D32" s="952"/>
      <c r="E32" s="1068">
        <v>774519.55323059834</v>
      </c>
      <c r="F32" s="952"/>
      <c r="G32" s="1068"/>
      <c r="H32" s="1071"/>
      <c r="I32" s="1072"/>
      <c r="J32"/>
      <c r="K32"/>
    </row>
    <row r="33" spans="1:11">
      <c r="A33" s="794">
        <f t="shared" si="2"/>
        <v>19</v>
      </c>
      <c r="B33" s="800" t="s">
        <v>569</v>
      </c>
      <c r="C33" s="1068">
        <v>18767490.412514742</v>
      </c>
      <c r="D33" s="952"/>
      <c r="E33" s="1068">
        <v>796630.61287048261</v>
      </c>
      <c r="F33" s="952"/>
      <c r="G33" s="1068"/>
      <c r="H33" s="1071"/>
      <c r="I33" s="1072"/>
      <c r="J33"/>
      <c r="K33"/>
    </row>
    <row r="34" spans="1:11">
      <c r="A34" s="794">
        <f t="shared" si="2"/>
        <v>20</v>
      </c>
      <c r="B34" s="800" t="s">
        <v>570</v>
      </c>
      <c r="C34" s="1068">
        <v>19131184.602059115</v>
      </c>
      <c r="D34" s="952"/>
      <c r="E34" s="1068">
        <v>818742.55628980987</v>
      </c>
      <c r="F34" s="952"/>
      <c r="G34" s="1068"/>
      <c r="H34" s="1071"/>
      <c r="I34" s="1072"/>
      <c r="J34"/>
      <c r="K34"/>
    </row>
    <row r="35" spans="1:11">
      <c r="A35" s="794">
        <f t="shared" si="2"/>
        <v>21</v>
      </c>
      <c r="B35" s="800" t="s">
        <v>571</v>
      </c>
      <c r="C35" s="1068">
        <v>19489659.309553053</v>
      </c>
      <c r="D35" s="952"/>
      <c r="E35" s="1068">
        <v>800709.08935835119</v>
      </c>
      <c r="F35" s="952"/>
      <c r="G35" s="1068"/>
      <c r="H35" s="1071"/>
      <c r="I35" s="1072"/>
      <c r="J35"/>
      <c r="K35"/>
    </row>
    <row r="36" spans="1:11">
      <c r="A36" s="794">
        <f t="shared" si="2"/>
        <v>22</v>
      </c>
      <c r="B36" s="800" t="s">
        <v>572</v>
      </c>
      <c r="C36" s="1068">
        <v>19856306.562108029</v>
      </c>
      <c r="D36" s="952"/>
      <c r="E36" s="1068">
        <v>822175.6564518403</v>
      </c>
      <c r="F36" s="952"/>
      <c r="G36" s="1068"/>
      <c r="H36" s="1071"/>
      <c r="I36" s="1072"/>
      <c r="J36"/>
      <c r="K36"/>
    </row>
    <row r="37" spans="1:11">
      <c r="A37" s="794">
        <f t="shared" si="2"/>
        <v>23</v>
      </c>
      <c r="B37" s="800" t="s">
        <v>712</v>
      </c>
      <c r="C37" s="1068">
        <v>20224506.149936188</v>
      </c>
      <c r="D37" s="952"/>
      <c r="E37" s="1068">
        <v>843650.71104166191</v>
      </c>
      <c r="F37" s="952"/>
      <c r="G37" s="1068"/>
      <c r="H37" s="1071"/>
      <c r="I37" s="1072"/>
      <c r="J37"/>
      <c r="K37"/>
    </row>
    <row r="38" spans="1:11">
      <c r="A38" s="794">
        <f t="shared" si="2"/>
        <v>24</v>
      </c>
      <c r="B38" s="800" t="s">
        <v>574</v>
      </c>
      <c r="C38" s="1068">
        <v>20585717.41193755</v>
      </c>
      <c r="D38" s="952"/>
      <c r="E38" s="1068">
        <v>814334.15138883376</v>
      </c>
      <c r="F38" s="952"/>
      <c r="G38" s="1068"/>
      <c r="H38" s="1071"/>
      <c r="I38" s="1072"/>
      <c r="J38"/>
      <c r="K38"/>
    </row>
    <row r="39" spans="1:11">
      <c r="A39" s="794">
        <f t="shared" si="2"/>
        <v>25</v>
      </c>
      <c r="B39" s="800" t="s">
        <v>575</v>
      </c>
      <c r="C39" s="1068">
        <v>20956882.561067998</v>
      </c>
      <c r="D39" s="952"/>
      <c r="E39" s="1068">
        <v>835011.91054433107</v>
      </c>
      <c r="F39" s="952"/>
      <c r="G39" s="1068"/>
      <c r="H39" s="1071"/>
      <c r="I39" s="1072"/>
      <c r="J39"/>
      <c r="K39"/>
    </row>
    <row r="40" spans="1:11">
      <c r="A40" s="794">
        <f t="shared" si="2"/>
        <v>26</v>
      </c>
      <c r="B40" s="800" t="s">
        <v>576</v>
      </c>
      <c r="C40" s="1068">
        <v>21329597.997995961</v>
      </c>
      <c r="D40" s="952"/>
      <c r="E40" s="1068">
        <v>855698.23498749326</v>
      </c>
      <c r="F40" s="952"/>
      <c r="G40" s="1068"/>
      <c r="H40" s="1071"/>
      <c r="I40" s="1072"/>
      <c r="J40"/>
      <c r="K40"/>
    </row>
    <row r="41" spans="1:11">
      <c r="A41" s="801">
        <f t="shared" si="2"/>
        <v>27</v>
      </c>
      <c r="B41" s="802" t="s">
        <v>713</v>
      </c>
      <c r="C41" s="1069">
        <v>21692754.59688168</v>
      </c>
      <c r="D41" s="799"/>
      <c r="E41" s="1069">
        <v>810025.90452606883</v>
      </c>
      <c r="F41" s="799"/>
      <c r="G41" s="1069"/>
      <c r="H41" s="1086"/>
      <c r="I41" s="1072"/>
      <c r="J41"/>
      <c r="K41"/>
    </row>
    <row r="42" spans="1:11" ht="13.5" thickBot="1">
      <c r="A42" s="808">
        <f t="shared" si="2"/>
        <v>28</v>
      </c>
      <c r="B42" s="809" t="s">
        <v>714</v>
      </c>
      <c r="C42" s="804">
        <f t="shared" ref="C42:G42" si="3">SUM(C29:C41)/13</f>
        <v>19502547.221072793</v>
      </c>
      <c r="D42" s="804">
        <f t="shared" si="3"/>
        <v>0</v>
      </c>
      <c r="E42" s="804">
        <f t="shared" si="3"/>
        <v>810837.19181857654</v>
      </c>
      <c r="F42" s="804">
        <f t="shared" si="3"/>
        <v>0</v>
      </c>
      <c r="G42" s="804">
        <f t="shared" si="3"/>
        <v>0</v>
      </c>
      <c r="H42" s="1074"/>
      <c r="I42" s="1075"/>
      <c r="J42"/>
      <c r="K42"/>
    </row>
    <row r="43" spans="1:11" ht="13.5" thickTop="1">
      <c r="A43" s="47"/>
      <c r="B43" s="805"/>
      <c r="C43" s="806"/>
      <c r="D43" s="807"/>
      <c r="E43" s="807"/>
      <c r="F43" s="807"/>
      <c r="G43" s="806"/>
      <c r="H43"/>
      <c r="I43"/>
      <c r="J43"/>
      <c r="K43"/>
    </row>
    <row r="44" spans="1:11">
      <c r="A44" s="47"/>
      <c r="B44" s="805"/>
      <c r="C44" s="806"/>
      <c r="D44" s="807"/>
      <c r="E44" s="807"/>
      <c r="F44" s="807"/>
      <c r="G44" s="806"/>
      <c r="H44" s="806"/>
      <c r="I44" s="806"/>
    </row>
    <row r="45" spans="1:11">
      <c r="A45" s="810"/>
      <c r="B45" s="811"/>
      <c r="C45" s="812"/>
      <c r="D45" s="813"/>
      <c r="E45" s="813"/>
      <c r="F45" s="813"/>
      <c r="G45" s="1077"/>
      <c r="H45" s="1078"/>
    </row>
    <row r="46" spans="1:11" ht="72" customHeight="1">
      <c r="A46" s="814" t="s">
        <v>701</v>
      </c>
      <c r="B46" s="789" t="s">
        <v>702</v>
      </c>
      <c r="C46" s="815" t="s">
        <v>717</v>
      </c>
      <c r="D46" s="793" t="s">
        <v>718</v>
      </c>
      <c r="E46" s="793" t="s">
        <v>719</v>
      </c>
      <c r="F46" s="793" t="s">
        <v>720</v>
      </c>
      <c r="G46" s="1089"/>
      <c r="H46" s="1090"/>
    </row>
    <row r="47" spans="1:11" s="796" customFormat="1">
      <c r="A47" s="794"/>
      <c r="B47" s="789" t="s">
        <v>706</v>
      </c>
      <c r="C47" s="816" t="s">
        <v>721</v>
      </c>
      <c r="D47" s="789" t="s">
        <v>722</v>
      </c>
      <c r="E47" s="789" t="s">
        <v>707</v>
      </c>
      <c r="F47" s="789" t="s">
        <v>708</v>
      </c>
      <c r="G47" s="1083"/>
      <c r="H47" s="1091"/>
    </row>
    <row r="48" spans="1:11" s="796" customFormat="1" ht="51">
      <c r="A48" s="794"/>
      <c r="B48" s="789" t="s">
        <v>709</v>
      </c>
      <c r="C48" s="817" t="str">
        <f>"Company Records (included in total in column "&amp;C8&amp;" of gross plant above)"</f>
        <v>Company Records (included in total in column (b) of gross plant above)</v>
      </c>
      <c r="D48" s="817" t="str">
        <f>"Company Records (included in total in column "&amp;C27&amp;" of accumulated depreciation above)"</f>
        <v>Company Records (included in total in column (b) of accumulated depreciation above)</v>
      </c>
      <c r="E48" s="818" t="s">
        <v>716</v>
      </c>
      <c r="F48" s="818" t="s">
        <v>716</v>
      </c>
      <c r="G48" s="1096"/>
      <c r="H48" s="1097"/>
    </row>
    <row r="49" spans="1:9">
      <c r="A49" s="794">
        <f>+A42+1</f>
        <v>29</v>
      </c>
      <c r="B49" s="819" t="s">
        <v>710</v>
      </c>
      <c r="C49" s="820">
        <v>0</v>
      </c>
      <c r="D49" s="799">
        <v>0</v>
      </c>
      <c r="E49" s="799">
        <v>0</v>
      </c>
      <c r="F49" s="1087">
        <v>0</v>
      </c>
      <c r="G49" s="1079"/>
      <c r="H49" s="1080"/>
    </row>
    <row r="50" spans="1:9">
      <c r="A50" s="794">
        <f>+A49+1</f>
        <v>30</v>
      </c>
      <c r="B50" s="819" t="s">
        <v>566</v>
      </c>
      <c r="C50" s="953">
        <v>0</v>
      </c>
      <c r="D50" s="952">
        <v>0</v>
      </c>
      <c r="E50" s="952">
        <v>0</v>
      </c>
      <c r="F50" s="1087">
        <v>0</v>
      </c>
      <c r="G50" s="1079"/>
      <c r="H50" s="1081"/>
    </row>
    <row r="51" spans="1:9">
      <c r="A51" s="794">
        <f t="shared" ref="A51:A62" si="4">+A50+1</f>
        <v>31</v>
      </c>
      <c r="B51" s="805" t="s">
        <v>567</v>
      </c>
      <c r="C51" s="953">
        <v>0</v>
      </c>
      <c r="D51" s="952">
        <v>0</v>
      </c>
      <c r="E51" s="952">
        <v>0</v>
      </c>
      <c r="F51" s="1087">
        <v>0</v>
      </c>
      <c r="G51" s="1079"/>
      <c r="H51" s="1081"/>
    </row>
    <row r="52" spans="1:9">
      <c r="A52" s="794">
        <f t="shared" si="4"/>
        <v>32</v>
      </c>
      <c r="B52" s="805" t="s">
        <v>711</v>
      </c>
      <c r="C52" s="953">
        <v>0</v>
      </c>
      <c r="D52" s="952">
        <v>0</v>
      </c>
      <c r="E52" s="952">
        <v>0</v>
      </c>
      <c r="F52" s="1087">
        <v>0</v>
      </c>
      <c r="G52" s="1079"/>
      <c r="H52" s="1081"/>
    </row>
    <row r="53" spans="1:9">
      <c r="A53" s="794">
        <f t="shared" si="4"/>
        <v>33</v>
      </c>
      <c r="B53" s="805" t="s">
        <v>569</v>
      </c>
      <c r="C53" s="953">
        <v>0</v>
      </c>
      <c r="D53" s="952">
        <v>0</v>
      </c>
      <c r="E53" s="952">
        <v>0</v>
      </c>
      <c r="F53" s="1087">
        <v>0</v>
      </c>
      <c r="G53" s="1079"/>
      <c r="H53" s="1081"/>
    </row>
    <row r="54" spans="1:9">
      <c r="A54" s="794">
        <f t="shared" si="4"/>
        <v>34</v>
      </c>
      <c r="B54" s="805" t="s">
        <v>570</v>
      </c>
      <c r="C54" s="953">
        <v>0</v>
      </c>
      <c r="D54" s="952">
        <v>0</v>
      </c>
      <c r="E54" s="952">
        <v>0</v>
      </c>
      <c r="F54" s="1087">
        <v>0</v>
      </c>
      <c r="G54" s="1079"/>
      <c r="H54" s="1081"/>
    </row>
    <row r="55" spans="1:9">
      <c r="A55" s="794">
        <f t="shared" si="4"/>
        <v>35</v>
      </c>
      <c r="B55" s="805" t="s">
        <v>571</v>
      </c>
      <c r="C55" s="953">
        <v>0</v>
      </c>
      <c r="D55" s="952">
        <v>0</v>
      </c>
      <c r="E55" s="952">
        <v>0</v>
      </c>
      <c r="F55" s="1087">
        <v>0</v>
      </c>
      <c r="G55" s="1079"/>
      <c r="H55" s="1081"/>
    </row>
    <row r="56" spans="1:9">
      <c r="A56" s="794">
        <f t="shared" si="4"/>
        <v>36</v>
      </c>
      <c r="B56" s="805" t="s">
        <v>572</v>
      </c>
      <c r="C56" s="953">
        <v>0</v>
      </c>
      <c r="D56" s="952">
        <v>0</v>
      </c>
      <c r="E56" s="952">
        <v>0</v>
      </c>
      <c r="F56" s="1087">
        <v>0</v>
      </c>
      <c r="G56" s="1079"/>
      <c r="H56" s="1081"/>
    </row>
    <row r="57" spans="1:9">
      <c r="A57" s="794">
        <f t="shared" si="4"/>
        <v>37</v>
      </c>
      <c r="B57" s="805" t="s">
        <v>712</v>
      </c>
      <c r="C57" s="953">
        <v>0</v>
      </c>
      <c r="D57" s="952">
        <v>0</v>
      </c>
      <c r="E57" s="952">
        <v>0</v>
      </c>
      <c r="F57" s="1087">
        <v>0</v>
      </c>
      <c r="G57" s="1079"/>
      <c r="H57" s="1081"/>
    </row>
    <row r="58" spans="1:9">
      <c r="A58" s="794">
        <f t="shared" si="4"/>
        <v>38</v>
      </c>
      <c r="B58" s="805" t="s">
        <v>574</v>
      </c>
      <c r="C58" s="953">
        <v>0</v>
      </c>
      <c r="D58" s="952">
        <v>0</v>
      </c>
      <c r="E58" s="952">
        <v>0</v>
      </c>
      <c r="F58" s="1087">
        <v>0</v>
      </c>
      <c r="G58" s="1079"/>
      <c r="H58" s="1081"/>
    </row>
    <row r="59" spans="1:9">
      <c r="A59" s="794">
        <f t="shared" si="4"/>
        <v>39</v>
      </c>
      <c r="B59" s="805" t="s">
        <v>575</v>
      </c>
      <c r="C59" s="953">
        <v>0</v>
      </c>
      <c r="D59" s="952">
        <v>0</v>
      </c>
      <c r="E59" s="952">
        <v>0</v>
      </c>
      <c r="F59" s="1087">
        <v>0</v>
      </c>
      <c r="G59" s="1079"/>
      <c r="H59" s="1081"/>
    </row>
    <row r="60" spans="1:9">
      <c r="A60" s="794">
        <f t="shared" si="4"/>
        <v>40</v>
      </c>
      <c r="B60" s="805" t="s">
        <v>576</v>
      </c>
      <c r="C60" s="953">
        <v>0</v>
      </c>
      <c r="D60" s="952">
        <v>0</v>
      </c>
      <c r="E60" s="952">
        <v>0</v>
      </c>
      <c r="F60" s="1087">
        <v>0</v>
      </c>
      <c r="G60" s="1079"/>
      <c r="H60" s="1081"/>
    </row>
    <row r="61" spans="1:9">
      <c r="A61" s="801">
        <f t="shared" si="4"/>
        <v>41</v>
      </c>
      <c r="B61" s="821" t="s">
        <v>713</v>
      </c>
      <c r="C61" s="822">
        <v>0</v>
      </c>
      <c r="D61" s="799">
        <v>0</v>
      </c>
      <c r="E61" s="799">
        <v>0</v>
      </c>
      <c r="F61" s="1088">
        <v>0</v>
      </c>
      <c r="G61" s="1079"/>
      <c r="H61" s="1082"/>
    </row>
    <row r="62" spans="1:9" ht="13.5" thickBot="1">
      <c r="A62" s="823">
        <f t="shared" si="4"/>
        <v>42</v>
      </c>
      <c r="B62" s="809" t="s">
        <v>714</v>
      </c>
      <c r="C62" s="804">
        <f>SUM(C49:C61)/13</f>
        <v>0</v>
      </c>
      <c r="D62" s="804">
        <f>SUM(D49:D61)/13</f>
        <v>0</v>
      </c>
      <c r="E62" s="804">
        <f>SUM(E49:E61)/13</f>
        <v>0</v>
      </c>
      <c r="F62" s="804">
        <f>SUM(F49:F61)/13</f>
        <v>0</v>
      </c>
      <c r="G62" s="1074"/>
      <c r="H62" s="1075"/>
    </row>
    <row r="63" spans="1:9" ht="13.5" thickTop="1">
      <c r="A63" s="47"/>
      <c r="B63" s="805"/>
      <c r="I63" s="807"/>
    </row>
    <row r="64" spans="1:9">
      <c r="A64" s="47">
        <v>43</v>
      </c>
      <c r="B64" s="1139" t="s">
        <v>976</v>
      </c>
      <c r="C64" s="506">
        <f>+C42-D62-F62</f>
        <v>19502547.221072793</v>
      </c>
      <c r="I64" s="807"/>
    </row>
    <row r="65" spans="1:6" customFormat="1">
      <c r="B65" s="1139"/>
    </row>
    <row r="66" spans="1:6" customFormat="1"/>
    <row r="67" spans="1:6" customFormat="1" ht="25.5">
      <c r="A67" s="826" t="s">
        <v>322</v>
      </c>
      <c r="B67" s="297"/>
      <c r="C67" s="827" t="s">
        <v>320</v>
      </c>
      <c r="D67" s="828" t="str">
        <f>"Balance @ December 31, "&amp;TCOS!L4&amp;""</f>
        <v>Balance @ December 31, 2026</v>
      </c>
      <c r="E67" s="829" t="str">
        <f>"Balance @ December 31, "&amp;TCOS!L4-1&amp;""</f>
        <v>Balance @ December 31, 2025</v>
      </c>
      <c r="F67" s="829" t="str">
        <f>"Average Balance for "&amp;TCOS!L4&amp;""</f>
        <v>Average Balance for 2026</v>
      </c>
    </row>
    <row r="68" spans="1:6" customFormat="1">
      <c r="A68" s="830"/>
      <c r="B68" s="789" t="s">
        <v>706</v>
      </c>
      <c r="C68" s="789" t="s">
        <v>721</v>
      </c>
      <c r="D68" s="789" t="s">
        <v>722</v>
      </c>
      <c r="E68" s="789" t="s">
        <v>707</v>
      </c>
      <c r="F68" s="789" t="s">
        <v>708</v>
      </c>
    </row>
    <row r="69" spans="1:6" customFormat="1">
      <c r="A69" s="297">
        <f>+A64+1</f>
        <v>44</v>
      </c>
      <c r="B69" s="830" t="s">
        <v>322</v>
      </c>
      <c r="C69" s="301" t="s">
        <v>169</v>
      </c>
      <c r="D69" s="306">
        <v>0</v>
      </c>
      <c r="E69" s="306">
        <v>0</v>
      </c>
      <c r="F69" s="831">
        <f>IF(E69="",0,AVERAGE(D69:E69))</f>
        <v>0</v>
      </c>
    </row>
    <row r="70" spans="1:6" customFormat="1">
      <c r="A70" s="300"/>
      <c r="B70" s="296"/>
      <c r="C70" s="296"/>
      <c r="F70" s="832"/>
    </row>
    <row r="71" spans="1:6" customFormat="1">
      <c r="A71" s="297">
        <f>+A69+1</f>
        <v>45</v>
      </c>
      <c r="B71" s="830" t="s">
        <v>772</v>
      </c>
      <c r="C71" s="833" t="s">
        <v>326</v>
      </c>
      <c r="D71" s="306">
        <v>0</v>
      </c>
      <c r="E71" s="306">
        <v>0</v>
      </c>
      <c r="F71" s="831">
        <f>IF(E71="",0,AVERAGE(D71:E71))</f>
        <v>0</v>
      </c>
    </row>
    <row r="72" spans="1:6" customFormat="1">
      <c r="A72" s="3"/>
      <c r="B72" s="3"/>
      <c r="C72" s="3"/>
      <c r="D72" s="3"/>
    </row>
    <row r="73" spans="1:6" customFormat="1">
      <c r="A73" s="830" t="s">
        <v>21</v>
      </c>
      <c r="B73" s="3"/>
      <c r="C73" s="3"/>
      <c r="D73" s="3"/>
    </row>
    <row r="74" spans="1:6" customFormat="1">
      <c r="A74" s="296"/>
      <c r="B74" s="296" t="s">
        <v>155</v>
      </c>
      <c r="C74" s="296"/>
      <c r="D74" s="296"/>
      <c r="E74" s="296"/>
      <c r="F74" s="296"/>
    </row>
    <row r="75" spans="1:6" customFormat="1">
      <c r="A75" s="297">
        <f>+A71+1</f>
        <v>46</v>
      </c>
      <c r="B75" s="955">
        <v>0</v>
      </c>
      <c r="C75" s="955">
        <v>0</v>
      </c>
      <c r="D75" s="956">
        <v>0</v>
      </c>
      <c r="E75" s="306">
        <v>0</v>
      </c>
      <c r="F75" s="831">
        <f>IF(E75="",0,AVERAGE(D75:E75))</f>
        <v>0</v>
      </c>
    </row>
    <row r="76" spans="1:6" customFormat="1">
      <c r="A76" s="297">
        <f>+A75+1</f>
        <v>47</v>
      </c>
      <c r="B76" s="955">
        <v>0</v>
      </c>
      <c r="C76" s="955">
        <v>0</v>
      </c>
      <c r="D76" s="956">
        <v>0</v>
      </c>
      <c r="E76" s="306">
        <v>0</v>
      </c>
      <c r="F76" s="831">
        <f>IF(E76="",0,AVERAGE(D76:E76))</f>
        <v>0</v>
      </c>
    </row>
    <row r="77" spans="1:6" customFormat="1">
      <c r="A77" s="297">
        <f>+A76+1</f>
        <v>48</v>
      </c>
      <c r="B77" s="955">
        <v>0</v>
      </c>
      <c r="C77" s="955">
        <v>0</v>
      </c>
      <c r="D77" s="956">
        <v>0</v>
      </c>
      <c r="E77" s="306">
        <v>0</v>
      </c>
      <c r="F77" s="831">
        <f>IF(E77="",0,AVERAGE(D77:E77))</f>
        <v>0</v>
      </c>
    </row>
    <row r="78" spans="1:6" customFormat="1">
      <c r="A78" s="297">
        <f>+A77+1</f>
        <v>49</v>
      </c>
      <c r="B78" s="955">
        <v>0</v>
      </c>
      <c r="C78" s="955">
        <v>0</v>
      </c>
      <c r="D78" s="956">
        <v>0</v>
      </c>
      <c r="E78" s="306">
        <v>0</v>
      </c>
      <c r="F78" s="831">
        <f>IF(E78="",0,AVERAGE(D78:E78))</f>
        <v>0</v>
      </c>
    </row>
    <row r="79" spans="1:6" customFormat="1">
      <c r="A79" s="297">
        <f>+A78+1</f>
        <v>50</v>
      </c>
      <c r="B79" s="955">
        <v>0</v>
      </c>
      <c r="C79" s="955">
        <v>0</v>
      </c>
      <c r="D79" s="957">
        <v>0</v>
      </c>
      <c r="E79" s="834">
        <v>0</v>
      </c>
      <c r="F79" s="835">
        <f>IF(E79="",0,AVERAGE(D79:E79))</f>
        <v>0</v>
      </c>
    </row>
    <row r="80" spans="1:6" customFormat="1" ht="18" customHeight="1">
      <c r="A80" s="297">
        <f>+A79+1</f>
        <v>51</v>
      </c>
      <c r="B80" s="296" t="s">
        <v>723</v>
      </c>
      <c r="C80" s="296"/>
      <c r="D80" s="836">
        <f>SUM(D75:D79)</f>
        <v>0</v>
      </c>
      <c r="E80" s="836">
        <f>SUM(E75:E79)</f>
        <v>0</v>
      </c>
      <c r="F80" s="836">
        <f>SUM(F75:F79)</f>
        <v>0</v>
      </c>
    </row>
    <row r="81" spans="1:6" customFormat="1" ht="17.25" customHeight="1">
      <c r="A81" s="297"/>
      <c r="B81" s="296"/>
      <c r="C81" s="296"/>
      <c r="D81" s="836"/>
      <c r="E81" s="836"/>
      <c r="F81" s="836"/>
    </row>
    <row r="82" spans="1:6" customFormat="1" ht="18.75" customHeight="1">
      <c r="A82" s="830" t="s">
        <v>724</v>
      </c>
      <c r="B82" s="837"/>
      <c r="C82" s="837"/>
      <c r="D82" s="837"/>
      <c r="E82" s="296"/>
      <c r="F82" s="296"/>
    </row>
    <row r="83" spans="1:6" customFormat="1" ht="31.5" customHeight="1">
      <c r="A83" s="297"/>
      <c r="B83" s="14"/>
      <c r="C83" s="351"/>
      <c r="D83" s="4"/>
      <c r="E83" s="296"/>
      <c r="F83" s="296"/>
    </row>
    <row r="84" spans="1:6" customFormat="1" ht="21.75" customHeight="1">
      <c r="A84" s="297">
        <f>+A80+1</f>
        <v>52</v>
      </c>
      <c r="B84" s="298" t="s">
        <v>457</v>
      </c>
      <c r="C84" s="298" t="s">
        <v>102</v>
      </c>
      <c r="D84" s="3"/>
      <c r="F84" s="298"/>
    </row>
    <row r="85" spans="1:6" customFormat="1" ht="14.25">
      <c r="A85" s="47" t="s">
        <v>725</v>
      </c>
      <c r="B85" s="958">
        <v>0</v>
      </c>
      <c r="C85" s="959">
        <v>0</v>
      </c>
      <c r="D85" s="956">
        <v>0</v>
      </c>
      <c r="E85" s="956">
        <v>0</v>
      </c>
      <c r="F85" s="838">
        <f>IF(E85="",0,AVERAGE(D85:E85))</f>
        <v>0</v>
      </c>
    </row>
    <row r="86" spans="1:6" customFormat="1" ht="14.25">
      <c r="A86" s="47" t="s">
        <v>726</v>
      </c>
      <c r="B86" s="956">
        <v>0</v>
      </c>
      <c r="C86" s="959">
        <v>0</v>
      </c>
      <c r="D86" s="956">
        <v>0</v>
      </c>
      <c r="E86" s="956">
        <v>0</v>
      </c>
      <c r="F86" s="839">
        <f>IF(E86="",0,AVERAGE(D86:E86))</f>
        <v>0</v>
      </c>
    </row>
    <row r="87" spans="1:6" customFormat="1" ht="18" customHeight="1">
      <c r="A87" s="1">
        <f>A84+2</f>
        <v>54</v>
      </c>
      <c r="C87" s="3" t="s">
        <v>410</v>
      </c>
      <c r="D87" s="506">
        <f>SUM(D85:D86)</f>
        <v>0</v>
      </c>
      <c r="E87" s="506">
        <f>SUM(E85:E86)</f>
        <v>0</v>
      </c>
      <c r="F87" s="506">
        <f>SUM(F85:F86)</f>
        <v>0</v>
      </c>
    </row>
    <row r="88" spans="1:6" customFormat="1">
      <c r="A88" s="297"/>
      <c r="B88" s="296"/>
      <c r="C88" s="296"/>
      <c r="D88" s="296"/>
    </row>
    <row r="89" spans="1:6">
      <c r="A89" s="304" t="s">
        <v>727</v>
      </c>
      <c r="B89" s="296"/>
      <c r="C89" s="296"/>
      <c r="D89" s="296"/>
    </row>
    <row r="90" spans="1:6">
      <c r="A90" s="304" t="s">
        <v>728</v>
      </c>
      <c r="B90" s="296"/>
      <c r="C90" s="296"/>
      <c r="D90" s="296"/>
    </row>
  </sheetData>
  <mergeCells count="7">
    <mergeCell ref="B64:B65"/>
    <mergeCell ref="A1:G1"/>
    <mergeCell ref="A2:G2"/>
    <mergeCell ref="A3:G3"/>
    <mergeCell ref="A4:G4"/>
    <mergeCell ref="C6:I6"/>
    <mergeCell ref="C25:I25"/>
  </mergeCells>
  <pageMargins left="0.7" right="0.7" top="0.75" bottom="0.75" header="0.3" footer="0.3"/>
  <pageSetup scale="5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34"/>
  <sheetViews>
    <sheetView tabSelected="1" zoomScale="81" zoomScaleNormal="81" workbookViewId="0">
      <selection activeCell="L25" sqref="L25"/>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39" t="s">
        <v>406</v>
      </c>
    </row>
    <row r="2" spans="1:21" ht="15.75">
      <c r="A2" s="739" t="s">
        <v>406</v>
      </c>
    </row>
    <row r="3" spans="1:21" ht="18">
      <c r="A3" s="1184" t="str">
        <f>TCOS!$F$5</f>
        <v>AEPTCo subsidiaries in PJM</v>
      </c>
      <c r="B3" s="1184" t="str">
        <f>TCOS!$F$5</f>
        <v>AEPTCo subsidiaries in PJM</v>
      </c>
      <c r="C3" s="1184" t="str">
        <f>TCOS!$F$5</f>
        <v>AEPTCo subsidiaries in PJM</v>
      </c>
      <c r="D3" s="1184" t="str">
        <f>TCOS!$F$5</f>
        <v>AEPTCo subsidiaries in PJM</v>
      </c>
      <c r="E3" s="1184" t="str">
        <f>TCOS!$F$5</f>
        <v>AEPTCo subsidiaries in PJM</v>
      </c>
      <c r="F3" s="1184" t="str">
        <f>TCOS!$F$5</f>
        <v>AEPTCo subsidiaries in PJM</v>
      </c>
      <c r="G3" s="1184" t="str">
        <f>TCOS!$F$5</f>
        <v>AEPTCo subsidiaries in PJM</v>
      </c>
      <c r="H3" s="1184" t="str">
        <f>TCOS!$F$5</f>
        <v>AEPTCo subsidiaries in PJM</v>
      </c>
      <c r="I3" s="1184" t="str">
        <f>TCOS!$F$5</f>
        <v>AEPTCo subsidiaries in PJM</v>
      </c>
      <c r="J3" s="1184" t="str">
        <f>TCOS!$F$5</f>
        <v>AEPTCo subsidiaries in PJM</v>
      </c>
      <c r="K3" s="1184" t="str">
        <f>TCOS!$F$5</f>
        <v>AEPTCo subsidiaries in PJM</v>
      </c>
      <c r="L3" s="1184" t="str">
        <f>TCOS!$F$5</f>
        <v>AEPTCo subsidiaries in PJM</v>
      </c>
      <c r="M3" s="1184" t="str">
        <f>TCOS!$F$5</f>
        <v>AEPTCo subsidiaries in PJM</v>
      </c>
      <c r="N3" s="1184" t="str">
        <f>TCOS!$F$5</f>
        <v>AEPTCo subsidiaries in PJM</v>
      </c>
      <c r="O3" s="1184" t="str">
        <f>TCOS!$F$5</f>
        <v>AEPTCo subsidiaries in PJM</v>
      </c>
    </row>
    <row r="4" spans="1:21" ht="18">
      <c r="A4" s="1183" t="str">
        <f>"Cost of Service Formula Rate Using Actual/Projected FF1 Balances"</f>
        <v>Cost of Service Formula Rate Using Actual/Projected FF1 Balances</v>
      </c>
      <c r="B4" s="1183"/>
      <c r="C4" s="1183"/>
      <c r="D4" s="1183"/>
      <c r="E4" s="1183"/>
      <c r="F4" s="1183"/>
      <c r="G4" s="1183"/>
      <c r="H4" s="1183"/>
      <c r="I4" s="1183"/>
      <c r="J4" s="1183"/>
      <c r="K4" s="1183"/>
      <c r="L4" s="1183"/>
      <c r="M4" s="1183"/>
      <c r="N4" s="1183"/>
      <c r="O4" s="1183"/>
    </row>
    <row r="5" spans="1:21" ht="18">
      <c r="A5" s="1183" t="s">
        <v>24</v>
      </c>
      <c r="B5" s="1183"/>
      <c r="C5" s="1183"/>
      <c r="D5" s="1183"/>
      <c r="E5" s="1183"/>
      <c r="F5" s="1183"/>
      <c r="G5" s="1183"/>
      <c r="H5" s="1183"/>
      <c r="I5" s="1183"/>
      <c r="J5" s="1183"/>
      <c r="K5" s="1183"/>
      <c r="L5" s="1183"/>
      <c r="M5" s="1183"/>
      <c r="N5" s="1183"/>
      <c r="O5" s="1183"/>
    </row>
    <row r="6" spans="1:21" ht="18">
      <c r="A6" s="1176" t="str">
        <f>+TCOS!F9</f>
        <v>AEP Appalachian Transmission Company</v>
      </c>
      <c r="B6" s="1176"/>
      <c r="C6" s="1176"/>
      <c r="D6" s="1176"/>
      <c r="E6" s="1176"/>
      <c r="F6" s="1176"/>
      <c r="G6" s="1176"/>
      <c r="H6" s="1176"/>
      <c r="I6" s="1176"/>
      <c r="J6" s="1176"/>
      <c r="K6" s="1176"/>
      <c r="L6" s="1176"/>
      <c r="M6" s="1176"/>
      <c r="N6" s="1176"/>
      <c r="O6" s="1176"/>
    </row>
    <row r="7" spans="1:21" ht="12.75" customHeight="1">
      <c r="A7" s="67"/>
      <c r="B7" s="67"/>
      <c r="C7" s="67"/>
      <c r="D7" s="67"/>
      <c r="E7" s="67"/>
      <c r="F7" s="67"/>
      <c r="G7" s="67"/>
      <c r="H7" s="67"/>
      <c r="I7" s="67"/>
      <c r="J7" s="67"/>
      <c r="K7" s="67"/>
      <c r="L7" s="67"/>
    </row>
    <row r="8" spans="1:21" ht="12.75" customHeight="1">
      <c r="A8" s="1211" t="s">
        <v>16</v>
      </c>
      <c r="B8" s="1211"/>
      <c r="C8" s="1211"/>
      <c r="D8" s="1211"/>
      <c r="E8" s="1211"/>
      <c r="F8" s="1211"/>
      <c r="G8" s="1211"/>
      <c r="H8" s="1211"/>
      <c r="I8" s="1211"/>
      <c r="J8" s="1211"/>
      <c r="K8" s="1211"/>
      <c r="L8" s="1211"/>
      <c r="M8" s="1211"/>
      <c r="N8" s="1211"/>
      <c r="O8" s="1211"/>
    </row>
    <row r="9" spans="1:21" ht="12.75" customHeight="1">
      <c r="A9" s="1211"/>
      <c r="B9" s="1211"/>
      <c r="C9" s="1211"/>
      <c r="D9" s="1211"/>
      <c r="E9" s="1211"/>
      <c r="F9" s="1211"/>
      <c r="G9" s="1211"/>
      <c r="H9" s="1211"/>
      <c r="I9" s="1211"/>
      <c r="J9" s="1211"/>
      <c r="K9" s="1211"/>
      <c r="L9" s="1211"/>
      <c r="M9" s="1211"/>
      <c r="N9" s="1211"/>
      <c r="O9" s="1211"/>
    </row>
    <row r="10" spans="1:21">
      <c r="A10" s="1211"/>
      <c r="B10" s="1211"/>
      <c r="C10" s="1211"/>
      <c r="D10" s="1211"/>
      <c r="E10" s="1211"/>
      <c r="F10" s="1211"/>
      <c r="G10" s="1211"/>
      <c r="H10" s="1211"/>
      <c r="I10" s="1211"/>
      <c r="J10" s="1211"/>
      <c r="K10" s="1211"/>
      <c r="L10" s="1211"/>
      <c r="M10" s="1211"/>
      <c r="N10" s="1211"/>
      <c r="O10" s="1211"/>
    </row>
    <row r="11" spans="1:21">
      <c r="A11" s="1211"/>
      <c r="B11" s="1211"/>
      <c r="C11" s="1211"/>
      <c r="D11" s="1211"/>
      <c r="E11" s="1211"/>
      <c r="F11" s="1211"/>
      <c r="G11" s="1211"/>
      <c r="H11" s="1211"/>
      <c r="I11" s="1211"/>
      <c r="J11" s="1211"/>
      <c r="K11" s="1211"/>
      <c r="L11" s="1211"/>
      <c r="M11" s="1211"/>
      <c r="N11" s="1211"/>
      <c r="O11" s="1211"/>
    </row>
    <row r="12" spans="1:21">
      <c r="B12" s="1" t="s">
        <v>452</v>
      </c>
      <c r="C12" s="1"/>
      <c r="D12" s="1137" t="s">
        <v>453</v>
      </c>
      <c r="E12" s="1137"/>
      <c r="F12" s="1137"/>
      <c r="G12" s="1137"/>
      <c r="H12" s="1"/>
      <c r="I12" s="1" t="s">
        <v>323</v>
      </c>
      <c r="J12" s="1"/>
      <c r="K12" s="1" t="s">
        <v>455</v>
      </c>
      <c r="L12" s="1"/>
      <c r="M12" s="1" t="s">
        <v>375</v>
      </c>
      <c r="N12" s="1"/>
      <c r="O12" s="1" t="s">
        <v>376</v>
      </c>
      <c r="P12" s="1"/>
      <c r="Q12" s="1" t="s">
        <v>349</v>
      </c>
      <c r="R12" s="1"/>
      <c r="S12" s="1" t="s">
        <v>382</v>
      </c>
      <c r="U12" s="47" t="s">
        <v>288</v>
      </c>
    </row>
    <row r="13" spans="1:21">
      <c r="I13" s="1209" t="s">
        <v>347</v>
      </c>
      <c r="Q13" s="1208" t="s">
        <v>348</v>
      </c>
      <c r="S13" s="1209" t="s">
        <v>350</v>
      </c>
      <c r="U13" s="111" t="s">
        <v>265</v>
      </c>
    </row>
    <row r="14" spans="1:21">
      <c r="A14" s="70" t="s">
        <v>346</v>
      </c>
      <c r="B14" s="70" t="s">
        <v>342</v>
      </c>
      <c r="C14" s="70"/>
      <c r="D14" s="86" t="s">
        <v>343</v>
      </c>
      <c r="E14" s="70"/>
      <c r="F14" s="70"/>
      <c r="G14" s="70"/>
      <c r="H14" s="70"/>
      <c r="I14" s="1189"/>
      <c r="J14" s="70"/>
      <c r="K14" s="70" t="s">
        <v>344</v>
      </c>
      <c r="L14" s="70"/>
      <c r="M14" s="70" t="s">
        <v>345</v>
      </c>
      <c r="N14" s="70"/>
      <c r="O14" s="70" t="s">
        <v>282</v>
      </c>
      <c r="Q14" s="1208"/>
      <c r="S14" s="1209"/>
      <c r="U14" s="111" t="s">
        <v>102</v>
      </c>
    </row>
    <row r="15" spans="1:21">
      <c r="A15" s="70"/>
      <c r="B15" s="70"/>
      <c r="C15" s="70"/>
      <c r="D15" s="86"/>
      <c r="E15" s="70"/>
      <c r="F15" s="70"/>
      <c r="G15" s="70"/>
      <c r="H15" s="70"/>
      <c r="I15" t="s">
        <v>280</v>
      </c>
      <c r="J15" s="70"/>
      <c r="K15" s="70"/>
      <c r="L15" s="70"/>
      <c r="M15" s="70"/>
      <c r="N15" s="70"/>
      <c r="O15" s="70"/>
      <c r="Q15" s="94"/>
      <c r="S15" s="70" t="s">
        <v>282</v>
      </c>
    </row>
    <row r="16" spans="1:21">
      <c r="I16" t="s">
        <v>281</v>
      </c>
    </row>
    <row r="17" spans="1:21">
      <c r="A17" s="1">
        <v>1</v>
      </c>
      <c r="B17" s="608"/>
      <c r="D17" s="1210"/>
      <c r="E17" s="1210"/>
      <c r="F17" s="1210"/>
      <c r="G17" s="1210"/>
      <c r="I17" s="609"/>
      <c r="K17" s="607"/>
      <c r="L17" s="62"/>
      <c r="M17" s="607"/>
      <c r="O17" s="74">
        <f>+K17-M17</f>
        <v>0</v>
      </c>
      <c r="Q17" s="88">
        <f>IF(I17="G",TCOS!L235,IF(I17="T",1,0))</f>
        <v>0</v>
      </c>
      <c r="S17" s="74">
        <f>ROUND(O17*Q17,0)</f>
        <v>0</v>
      </c>
      <c r="U17" s="610"/>
    </row>
    <row r="18" spans="1:21">
      <c r="A18" s="1"/>
      <c r="D18" s="1210"/>
      <c r="E18" s="1210"/>
      <c r="F18" s="1210"/>
      <c r="G18" s="1210"/>
      <c r="K18" s="62"/>
      <c r="L18" s="62"/>
      <c r="M18" s="62"/>
      <c r="O18" s="62"/>
      <c r="Q18" s="88"/>
      <c r="S18" s="62"/>
    </row>
    <row r="19" spans="1:21">
      <c r="A19" s="1"/>
      <c r="D19" s="1210"/>
      <c r="E19" s="1210"/>
      <c r="F19" s="1210"/>
      <c r="G19" s="1210"/>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08"/>
      <c r="D22" s="1210"/>
      <c r="E22" s="1210"/>
      <c r="F22" s="1210"/>
      <c r="G22" s="1210"/>
      <c r="I22" s="609"/>
      <c r="K22" s="607"/>
      <c r="L22" s="62"/>
      <c r="M22" s="607"/>
      <c r="O22" s="74">
        <f>+K22-M22</f>
        <v>0</v>
      </c>
      <c r="Q22" s="88">
        <f>IF(I22="G",TCOS!L235,IF(I22="T",1,0))</f>
        <v>0</v>
      </c>
      <c r="S22" s="74">
        <f>ROUND(O22*Q22,0)</f>
        <v>0</v>
      </c>
      <c r="U22" s="610"/>
    </row>
    <row r="23" spans="1:21">
      <c r="A23" s="1"/>
      <c r="D23" s="1210"/>
      <c r="E23" s="1210"/>
      <c r="F23" s="1210"/>
      <c r="G23" s="1210"/>
      <c r="K23" s="62"/>
      <c r="L23" s="62"/>
      <c r="M23" s="62"/>
      <c r="O23" s="62"/>
      <c r="Q23" s="88"/>
      <c r="S23" s="62"/>
    </row>
    <row r="24" spans="1:21">
      <c r="A24" s="1"/>
      <c r="D24" s="1210"/>
      <c r="E24" s="1210"/>
      <c r="F24" s="1210"/>
      <c r="G24" s="1210"/>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08"/>
      <c r="D27" s="1210"/>
      <c r="E27" s="1210"/>
      <c r="F27" s="1210"/>
      <c r="G27" s="1210"/>
      <c r="I27" s="609"/>
      <c r="K27" s="607"/>
      <c r="L27" s="62"/>
      <c r="M27" s="607"/>
      <c r="O27" s="74">
        <f>+K27-M27</f>
        <v>0</v>
      </c>
      <c r="Q27" s="88">
        <f>IF(I27="G",TCOS!L235,IF(I27="T",1,0))</f>
        <v>0</v>
      </c>
      <c r="S27" s="74">
        <f>ROUND(O27*Q27,0)</f>
        <v>0</v>
      </c>
      <c r="U27" s="610"/>
    </row>
    <row r="28" spans="1:21">
      <c r="A28" s="1"/>
      <c r="D28" s="1210"/>
      <c r="E28" s="1210"/>
      <c r="F28" s="1210"/>
      <c r="G28" s="1210"/>
      <c r="K28" s="62"/>
      <c r="L28" s="62"/>
      <c r="M28" s="62"/>
      <c r="O28" s="62"/>
      <c r="Q28" s="88"/>
      <c r="S28" s="62"/>
    </row>
    <row r="29" spans="1:21">
      <c r="A29" s="1"/>
      <c r="D29" s="1210"/>
      <c r="E29" s="1210"/>
      <c r="F29" s="1210"/>
      <c r="G29" s="1210"/>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88"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14999847407452621"/>
  </sheetPr>
  <dimension ref="A1:F37"/>
  <sheetViews>
    <sheetView tabSelected="1" view="pageBreakPreview" zoomScale="90" zoomScaleNormal="80" zoomScaleSheetLayoutView="90" workbookViewId="0">
      <selection activeCell="L25" sqref="L25"/>
    </sheetView>
  </sheetViews>
  <sheetFormatPr defaultColWidth="11.42578125" defaultRowHeight="12.75"/>
  <cols>
    <col min="1" max="1" width="37.85546875" style="930" customWidth="1"/>
    <col min="2" max="2" width="25.42578125" style="930" customWidth="1"/>
    <col min="3" max="3" width="53.42578125" style="930" customWidth="1"/>
    <col min="4" max="4" width="18.42578125" style="930" customWidth="1"/>
    <col min="5" max="5" width="11.42578125" style="930" customWidth="1"/>
    <col min="6" max="6" width="13.7109375" style="930" bestFit="1" customWidth="1"/>
    <col min="7" max="16384" width="11.42578125" style="930"/>
  </cols>
  <sheetData>
    <row r="1" spans="1:6" ht="15.75">
      <c r="A1" s="929" t="s">
        <v>406</v>
      </c>
    </row>
    <row r="2" spans="1:6" ht="15.75">
      <c r="A2" s="929" t="s">
        <v>406</v>
      </c>
    </row>
    <row r="3" spans="1:6" ht="15.75">
      <c r="A3" s="1213" t="str">
        <f>TCOS!F5</f>
        <v>AEPTCo subsidiaries in PJM</v>
      </c>
      <c r="B3" s="1213" t="s">
        <v>321</v>
      </c>
      <c r="C3" s="1213" t="s">
        <v>321</v>
      </c>
      <c r="D3" s="1213" t="s">
        <v>321</v>
      </c>
    </row>
    <row r="4" spans="1:6" ht="15.75">
      <c r="A4" s="1213" t="str">
        <f>"Cost of Service Formula Rate Using Actual/Projected FF1 Balances"</f>
        <v>Cost of Service Formula Rate Using Actual/Projected FF1 Balances</v>
      </c>
      <c r="B4" s="1213"/>
      <c r="C4" s="1213"/>
      <c r="D4" s="1213"/>
    </row>
    <row r="5" spans="1:6" ht="15.75">
      <c r="A5" s="1213" t="s">
        <v>773</v>
      </c>
      <c r="B5" s="1213"/>
      <c r="C5" s="1213"/>
      <c r="D5" s="1213"/>
    </row>
    <row r="6" spans="1:6" ht="15.75">
      <c r="A6" s="1213" t="s">
        <v>774</v>
      </c>
      <c r="B6" s="1213"/>
      <c r="C6" s="1213"/>
      <c r="D6" s="1213"/>
    </row>
    <row r="7" spans="1:6" ht="15.75">
      <c r="A7" s="1214" t="str">
        <f>TCOS!F9</f>
        <v>AEP Appalachian Transmission Company</v>
      </c>
      <c r="B7" s="1214"/>
      <c r="C7" s="1214"/>
      <c r="D7" s="1214"/>
    </row>
    <row r="8" spans="1:6" ht="15.75">
      <c r="A8" s="932"/>
      <c r="B8" s="933"/>
      <c r="C8" s="933"/>
      <c r="D8" s="933"/>
    </row>
    <row r="9" spans="1:6" ht="15.75">
      <c r="A9" s="934"/>
      <c r="B9" s="935"/>
      <c r="C9" s="935"/>
      <c r="D9" s="935"/>
    </row>
    <row r="10" spans="1:6" ht="15.75">
      <c r="A10" s="936"/>
      <c r="B10" s="936"/>
      <c r="C10" s="936"/>
      <c r="D10" s="936"/>
    </row>
    <row r="11" spans="1:6" ht="15.75">
      <c r="A11" s="935" t="s">
        <v>775</v>
      </c>
      <c r="B11" s="935" t="s">
        <v>452</v>
      </c>
      <c r="C11" s="937"/>
      <c r="D11" s="935" t="s">
        <v>453</v>
      </c>
    </row>
    <row r="12" spans="1:6" ht="15.75">
      <c r="A12" s="931">
        <f>1</f>
        <v>1</v>
      </c>
      <c r="B12" s="938" t="s">
        <v>776</v>
      </c>
      <c r="C12" s="937"/>
      <c r="D12" s="931"/>
    </row>
    <row r="13" spans="1:6" ht="15.75">
      <c r="A13" s="931"/>
      <c r="B13" s="938"/>
      <c r="C13" s="937"/>
      <c r="D13" s="931"/>
    </row>
    <row r="14" spans="1:6" ht="15.75">
      <c r="A14" s="931"/>
      <c r="B14" s="937"/>
      <c r="C14" s="937"/>
      <c r="D14" s="937"/>
    </row>
    <row r="15" spans="1:6" ht="15.75">
      <c r="A15" s="931">
        <f>A12+1</f>
        <v>2</v>
      </c>
      <c r="B15" s="939" t="s">
        <v>777</v>
      </c>
      <c r="C15" s="940"/>
      <c r="D15" s="941"/>
    </row>
    <row r="16" spans="1:6" ht="15.75">
      <c r="A16" s="931">
        <f t="shared" ref="A16:A23" si="0">+A15+1</f>
        <v>3</v>
      </c>
      <c r="B16" s="942" t="s">
        <v>778</v>
      </c>
      <c r="C16" s="942"/>
      <c r="D16" s="1027">
        <v>-74896761</v>
      </c>
      <c r="F16" s="943"/>
    </row>
    <row r="17" spans="1:6" ht="15.75">
      <c r="A17" s="931">
        <f t="shared" si="0"/>
        <v>4</v>
      </c>
      <c r="B17" s="942" t="s">
        <v>779</v>
      </c>
      <c r="C17" s="942"/>
      <c r="D17" s="1028">
        <v>0</v>
      </c>
      <c r="F17" s="943"/>
    </row>
    <row r="18" spans="1:6" ht="15.75">
      <c r="A18" s="931">
        <f t="shared" si="0"/>
        <v>5</v>
      </c>
      <c r="B18" s="942" t="s">
        <v>780</v>
      </c>
      <c r="C18" s="942"/>
      <c r="D18" s="1028">
        <f>+D16-D17</f>
        <v>-74896761</v>
      </c>
    </row>
    <row r="19" spans="1:6" ht="15.75">
      <c r="A19" s="931">
        <f t="shared" si="0"/>
        <v>6</v>
      </c>
      <c r="B19" s="942" t="s">
        <v>781</v>
      </c>
      <c r="C19" s="942"/>
      <c r="D19" s="1027">
        <v>1652603269.1799927</v>
      </c>
    </row>
    <row r="20" spans="1:6" ht="15.75">
      <c r="A20" s="931">
        <f t="shared" si="0"/>
        <v>7</v>
      </c>
      <c r="B20" s="942" t="s">
        <v>782</v>
      </c>
      <c r="C20" s="942"/>
      <c r="D20" s="1029">
        <f>+D18/D19</f>
        <v>-4.5320472491357906E-2</v>
      </c>
    </row>
    <row r="21" spans="1:6" ht="15.75">
      <c r="A21" s="931">
        <f t="shared" si="0"/>
        <v>8</v>
      </c>
      <c r="B21" s="942" t="s">
        <v>783</v>
      </c>
      <c r="C21" s="942"/>
      <c r="D21" s="1030">
        <v>-7.8E-2</v>
      </c>
      <c r="E21" s="944"/>
    </row>
    <row r="22" spans="1:6" ht="15.75">
      <c r="A22" s="931">
        <f t="shared" si="0"/>
        <v>9</v>
      </c>
      <c r="B22" s="942" t="s">
        <v>784</v>
      </c>
      <c r="C22" s="942"/>
      <c r="D22" s="1031">
        <v>329771.68667034392</v>
      </c>
    </row>
    <row r="23" spans="1:6" ht="15.75">
      <c r="A23" s="931">
        <f t="shared" si="0"/>
        <v>10</v>
      </c>
      <c r="B23" s="942" t="str">
        <f>"Allowable TransCo PBOP Expense for current year (Ln "&amp;A21&amp;" * Ln "&amp;A22&amp;")"</f>
        <v>Allowable TransCo PBOP Expense for current year (Ln 8 * Ln 9)</v>
      </c>
      <c r="C23" s="942"/>
      <c r="D23" s="1032">
        <f>+D21*D22</f>
        <v>-25722.191560286825</v>
      </c>
    </row>
    <row r="24" spans="1:6" ht="15.75">
      <c r="A24" s="931"/>
      <c r="B24" s="942"/>
      <c r="C24" s="942"/>
      <c r="D24" s="1032"/>
    </row>
    <row r="25" spans="1:6" ht="15.75">
      <c r="A25" s="931"/>
      <c r="B25" s="942"/>
      <c r="C25" s="942"/>
      <c r="D25" s="1032"/>
    </row>
    <row r="26" spans="1:6" ht="15.75">
      <c r="A26" s="931">
        <f>+A23+1</f>
        <v>11</v>
      </c>
      <c r="B26" s="945" t="s">
        <v>785</v>
      </c>
      <c r="C26" s="942"/>
      <c r="D26" s="1033">
        <v>0</v>
      </c>
    </row>
    <row r="27" spans="1:6" ht="15.75">
      <c r="A27" s="931">
        <f>+A26+1</f>
        <v>12</v>
      </c>
      <c r="B27" s="942" t="s">
        <v>786</v>
      </c>
      <c r="C27" s="942"/>
      <c r="D27" s="1033">
        <v>0</v>
      </c>
    </row>
    <row r="28" spans="1:6" ht="15.75">
      <c r="A28" s="931">
        <f>+A27+1</f>
        <v>13</v>
      </c>
      <c r="B28" s="942" t="s">
        <v>787</v>
      </c>
      <c r="C28" s="942"/>
      <c r="D28" s="1033">
        <v>0</v>
      </c>
    </row>
    <row r="29" spans="1:6" ht="16.5" thickBot="1">
      <c r="A29" s="946">
        <f>+A28+1</f>
        <v>14</v>
      </c>
      <c r="B29" s="947" t="s">
        <v>788</v>
      </c>
      <c r="C29" s="948"/>
      <c r="D29" s="1034">
        <v>-51838.433746462193</v>
      </c>
    </row>
    <row r="30" spans="1:6" ht="15.75">
      <c r="A30" s="931">
        <f>+A29+1</f>
        <v>15</v>
      </c>
      <c r="B30" s="937" t="s">
        <v>789</v>
      </c>
      <c r="C30" s="937" t="str">
        <f>"(Sum Lines "&amp;A26&amp;"-"&amp;A29&amp;")"</f>
        <v>(Sum Lines 11-14)</v>
      </c>
      <c r="D30" s="949">
        <f>SUM(D26:D29)</f>
        <v>-51838.433746462193</v>
      </c>
    </row>
    <row r="31" spans="1:6" ht="15.75">
      <c r="A31" s="931"/>
      <c r="B31" s="937"/>
      <c r="C31" s="937"/>
      <c r="D31" s="949"/>
    </row>
    <row r="32" spans="1:6" ht="15.75">
      <c r="A32" s="931"/>
      <c r="B32" s="937"/>
      <c r="C32" s="937"/>
      <c r="D32" s="949"/>
    </row>
    <row r="33" spans="1:4" ht="15.75">
      <c r="A33" s="931">
        <f>A30+1</f>
        <v>16</v>
      </c>
      <c r="B33" s="937" t="s">
        <v>790</v>
      </c>
      <c r="C33" s="937" t="str">
        <f>"Line "&amp;A23&amp;" less Line "&amp;A30&amp;""</f>
        <v>Line 10 less Line 15</v>
      </c>
      <c r="D33" s="950">
        <f>D23-D30</f>
        <v>26116.242186175368</v>
      </c>
    </row>
    <row r="34" spans="1:4" ht="15.75">
      <c r="A34" s="931"/>
      <c r="B34" s="937"/>
      <c r="C34" s="937"/>
      <c r="D34" s="950"/>
    </row>
    <row r="35" spans="1:4" ht="15.75">
      <c r="A35" s="942" t="s">
        <v>791</v>
      </c>
    </row>
    <row r="37" spans="1:4" ht="387.75" customHeight="1">
      <c r="A37" s="1212" t="s">
        <v>792</v>
      </c>
      <c r="B37" s="1212"/>
      <c r="C37" s="1212"/>
      <c r="D37" s="1212"/>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G49"/>
  <sheetViews>
    <sheetView tabSelected="1" defaultGridColor="0" view="pageBreakPreview" topLeftCell="A3" colorId="22" zoomScale="85" zoomScaleNormal="70" zoomScaleSheetLayoutView="85" workbookViewId="0">
      <selection activeCell="L25" sqref="L25"/>
    </sheetView>
  </sheetViews>
  <sheetFormatPr defaultColWidth="14.7109375" defaultRowHeight="15"/>
  <cols>
    <col min="1" max="1" width="5.7109375" style="612" customWidth="1"/>
    <col min="2" max="2" width="42.5703125" style="612" customWidth="1"/>
    <col min="3" max="3" width="17.28515625" style="612" bestFit="1" customWidth="1"/>
    <col min="4" max="4" width="16.85546875" style="612" customWidth="1"/>
    <col min="5" max="5" width="18" style="612" customWidth="1"/>
    <col min="6" max="7" width="16.28515625" style="612" bestFit="1" customWidth="1"/>
    <col min="8" max="8" width="14.7109375" style="612" customWidth="1"/>
    <col min="9" max="256" width="14.7109375" style="612"/>
    <col min="257" max="257" width="5.7109375" style="612" customWidth="1"/>
    <col min="258" max="258" width="42.5703125" style="612" customWidth="1"/>
    <col min="259" max="259" width="17.28515625" style="612" bestFit="1" customWidth="1"/>
    <col min="260" max="260" width="16.85546875" style="612" customWidth="1"/>
    <col min="261" max="261" width="18" style="612" customWidth="1"/>
    <col min="262" max="263" width="16.28515625" style="612" bestFit="1" customWidth="1"/>
    <col min="264" max="264" width="14.7109375" style="612" customWidth="1"/>
    <col min="265" max="512" width="14.7109375" style="612"/>
    <col min="513" max="513" width="5.7109375" style="612" customWidth="1"/>
    <col min="514" max="514" width="42.5703125" style="612" customWidth="1"/>
    <col min="515" max="515" width="17.28515625" style="612" bestFit="1" customWidth="1"/>
    <col min="516" max="516" width="16.85546875" style="612" customWidth="1"/>
    <col min="517" max="517" width="18" style="612" customWidth="1"/>
    <col min="518" max="519" width="16.28515625" style="612" bestFit="1" customWidth="1"/>
    <col min="520" max="520" width="14.7109375" style="612" customWidth="1"/>
    <col min="521" max="768" width="14.7109375" style="612"/>
    <col min="769" max="769" width="5.7109375" style="612" customWidth="1"/>
    <col min="770" max="770" width="42.5703125" style="612" customWidth="1"/>
    <col min="771" max="771" width="17.28515625" style="612" bestFit="1" customWidth="1"/>
    <col min="772" max="772" width="16.85546875" style="612" customWidth="1"/>
    <col min="773" max="773" width="18" style="612" customWidth="1"/>
    <col min="774" max="775" width="16.28515625" style="612" bestFit="1" customWidth="1"/>
    <col min="776" max="776" width="14.7109375" style="612" customWidth="1"/>
    <col min="777" max="1024" width="14.7109375" style="612"/>
    <col min="1025" max="1025" width="5.7109375" style="612" customWidth="1"/>
    <col min="1026" max="1026" width="42.5703125" style="612" customWidth="1"/>
    <col min="1027" max="1027" width="17.28515625" style="612" bestFit="1" customWidth="1"/>
    <col min="1028" max="1028" width="16.85546875" style="612" customWidth="1"/>
    <col min="1029" max="1029" width="18" style="612" customWidth="1"/>
    <col min="1030" max="1031" width="16.28515625" style="612" bestFit="1" customWidth="1"/>
    <col min="1032" max="1032" width="14.7109375" style="612" customWidth="1"/>
    <col min="1033" max="1280" width="14.7109375" style="612"/>
    <col min="1281" max="1281" width="5.7109375" style="612" customWidth="1"/>
    <col min="1282" max="1282" width="42.5703125" style="612" customWidth="1"/>
    <col min="1283" max="1283" width="17.28515625" style="612" bestFit="1" customWidth="1"/>
    <col min="1284" max="1284" width="16.85546875" style="612" customWidth="1"/>
    <col min="1285" max="1285" width="18" style="612" customWidth="1"/>
    <col min="1286" max="1287" width="16.28515625" style="612" bestFit="1" customWidth="1"/>
    <col min="1288" max="1288" width="14.7109375" style="612" customWidth="1"/>
    <col min="1289" max="1536" width="14.7109375" style="612"/>
    <col min="1537" max="1537" width="5.7109375" style="612" customWidth="1"/>
    <col min="1538" max="1538" width="42.5703125" style="612" customWidth="1"/>
    <col min="1539" max="1539" width="17.28515625" style="612" bestFit="1" customWidth="1"/>
    <col min="1540" max="1540" width="16.85546875" style="612" customWidth="1"/>
    <col min="1541" max="1541" width="18" style="612" customWidth="1"/>
    <col min="1542" max="1543" width="16.28515625" style="612" bestFit="1" customWidth="1"/>
    <col min="1544" max="1544" width="14.7109375" style="612" customWidth="1"/>
    <col min="1545" max="1792" width="14.7109375" style="612"/>
    <col min="1793" max="1793" width="5.7109375" style="612" customWidth="1"/>
    <col min="1794" max="1794" width="42.5703125" style="612" customWidth="1"/>
    <col min="1795" max="1795" width="17.28515625" style="612" bestFit="1" customWidth="1"/>
    <col min="1796" max="1796" width="16.85546875" style="612" customWidth="1"/>
    <col min="1797" max="1797" width="18" style="612" customWidth="1"/>
    <col min="1798" max="1799" width="16.28515625" style="612" bestFit="1" customWidth="1"/>
    <col min="1800" max="1800" width="14.7109375" style="612" customWidth="1"/>
    <col min="1801" max="2048" width="14.7109375" style="612"/>
    <col min="2049" max="2049" width="5.7109375" style="612" customWidth="1"/>
    <col min="2050" max="2050" width="42.5703125" style="612" customWidth="1"/>
    <col min="2051" max="2051" width="17.28515625" style="612" bestFit="1" customWidth="1"/>
    <col min="2052" max="2052" width="16.85546875" style="612" customWidth="1"/>
    <col min="2053" max="2053" width="18" style="612" customWidth="1"/>
    <col min="2054" max="2055" width="16.28515625" style="612" bestFit="1" customWidth="1"/>
    <col min="2056" max="2056" width="14.7109375" style="612" customWidth="1"/>
    <col min="2057" max="2304" width="14.7109375" style="612"/>
    <col min="2305" max="2305" width="5.7109375" style="612" customWidth="1"/>
    <col min="2306" max="2306" width="42.5703125" style="612" customWidth="1"/>
    <col min="2307" max="2307" width="17.28515625" style="612" bestFit="1" customWidth="1"/>
    <col min="2308" max="2308" width="16.85546875" style="612" customWidth="1"/>
    <col min="2309" max="2309" width="18" style="612" customWidth="1"/>
    <col min="2310" max="2311" width="16.28515625" style="612" bestFit="1" customWidth="1"/>
    <col min="2312" max="2312" width="14.7109375" style="612" customWidth="1"/>
    <col min="2313" max="2560" width="14.7109375" style="612"/>
    <col min="2561" max="2561" width="5.7109375" style="612" customWidth="1"/>
    <col min="2562" max="2562" width="42.5703125" style="612" customWidth="1"/>
    <col min="2563" max="2563" width="17.28515625" style="612" bestFit="1" customWidth="1"/>
    <col min="2564" max="2564" width="16.85546875" style="612" customWidth="1"/>
    <col min="2565" max="2565" width="18" style="612" customWidth="1"/>
    <col min="2566" max="2567" width="16.28515625" style="612" bestFit="1" customWidth="1"/>
    <col min="2568" max="2568" width="14.7109375" style="612" customWidth="1"/>
    <col min="2569" max="2816" width="14.7109375" style="612"/>
    <col min="2817" max="2817" width="5.7109375" style="612" customWidth="1"/>
    <col min="2818" max="2818" width="42.5703125" style="612" customWidth="1"/>
    <col min="2819" max="2819" width="17.28515625" style="612" bestFit="1" customWidth="1"/>
    <col min="2820" max="2820" width="16.85546875" style="612" customWidth="1"/>
    <col min="2821" max="2821" width="18" style="612" customWidth="1"/>
    <col min="2822" max="2823" width="16.28515625" style="612" bestFit="1" customWidth="1"/>
    <col min="2824" max="2824" width="14.7109375" style="612" customWidth="1"/>
    <col min="2825" max="3072" width="14.7109375" style="612"/>
    <col min="3073" max="3073" width="5.7109375" style="612" customWidth="1"/>
    <col min="3074" max="3074" width="42.5703125" style="612" customWidth="1"/>
    <col min="3075" max="3075" width="17.28515625" style="612" bestFit="1" customWidth="1"/>
    <col min="3076" max="3076" width="16.85546875" style="612" customWidth="1"/>
    <col min="3077" max="3077" width="18" style="612" customWidth="1"/>
    <col min="3078" max="3079" width="16.28515625" style="612" bestFit="1" customWidth="1"/>
    <col min="3080" max="3080" width="14.7109375" style="612" customWidth="1"/>
    <col min="3081" max="3328" width="14.7109375" style="612"/>
    <col min="3329" max="3329" width="5.7109375" style="612" customWidth="1"/>
    <col min="3330" max="3330" width="42.5703125" style="612" customWidth="1"/>
    <col min="3331" max="3331" width="17.28515625" style="612" bestFit="1" customWidth="1"/>
    <col min="3332" max="3332" width="16.85546875" style="612" customWidth="1"/>
    <col min="3333" max="3333" width="18" style="612" customWidth="1"/>
    <col min="3334" max="3335" width="16.28515625" style="612" bestFit="1" customWidth="1"/>
    <col min="3336" max="3336" width="14.7109375" style="612" customWidth="1"/>
    <col min="3337" max="3584" width="14.7109375" style="612"/>
    <col min="3585" max="3585" width="5.7109375" style="612" customWidth="1"/>
    <col min="3586" max="3586" width="42.5703125" style="612" customWidth="1"/>
    <col min="3587" max="3587" width="17.28515625" style="612" bestFit="1" customWidth="1"/>
    <col min="3588" max="3588" width="16.85546875" style="612" customWidth="1"/>
    <col min="3589" max="3589" width="18" style="612" customWidth="1"/>
    <col min="3590" max="3591" width="16.28515625" style="612" bestFit="1" customWidth="1"/>
    <col min="3592" max="3592" width="14.7109375" style="612" customWidth="1"/>
    <col min="3593" max="3840" width="14.7109375" style="612"/>
    <col min="3841" max="3841" width="5.7109375" style="612" customWidth="1"/>
    <col min="3842" max="3842" width="42.5703125" style="612" customWidth="1"/>
    <col min="3843" max="3843" width="17.28515625" style="612" bestFit="1" customWidth="1"/>
    <col min="3844" max="3844" width="16.85546875" style="612" customWidth="1"/>
    <col min="3845" max="3845" width="18" style="612" customWidth="1"/>
    <col min="3846" max="3847" width="16.28515625" style="612" bestFit="1" customWidth="1"/>
    <col min="3848" max="3848" width="14.7109375" style="612" customWidth="1"/>
    <col min="3849" max="4096" width="14.7109375" style="612"/>
    <col min="4097" max="4097" width="5.7109375" style="612" customWidth="1"/>
    <col min="4098" max="4098" width="42.5703125" style="612" customWidth="1"/>
    <col min="4099" max="4099" width="17.28515625" style="612" bestFit="1" customWidth="1"/>
    <col min="4100" max="4100" width="16.85546875" style="612" customWidth="1"/>
    <col min="4101" max="4101" width="18" style="612" customWidth="1"/>
    <col min="4102" max="4103" width="16.28515625" style="612" bestFit="1" customWidth="1"/>
    <col min="4104" max="4104" width="14.7109375" style="612" customWidth="1"/>
    <col min="4105" max="4352" width="14.7109375" style="612"/>
    <col min="4353" max="4353" width="5.7109375" style="612" customWidth="1"/>
    <col min="4354" max="4354" width="42.5703125" style="612" customWidth="1"/>
    <col min="4355" max="4355" width="17.28515625" style="612" bestFit="1" customWidth="1"/>
    <col min="4356" max="4356" width="16.85546875" style="612" customWidth="1"/>
    <col min="4357" max="4357" width="18" style="612" customWidth="1"/>
    <col min="4358" max="4359" width="16.28515625" style="612" bestFit="1" customWidth="1"/>
    <col min="4360" max="4360" width="14.7109375" style="612" customWidth="1"/>
    <col min="4361" max="4608" width="14.7109375" style="612"/>
    <col min="4609" max="4609" width="5.7109375" style="612" customWidth="1"/>
    <col min="4610" max="4610" width="42.5703125" style="612" customWidth="1"/>
    <col min="4611" max="4611" width="17.28515625" style="612" bestFit="1" customWidth="1"/>
    <col min="4612" max="4612" width="16.85546875" style="612" customWidth="1"/>
    <col min="4613" max="4613" width="18" style="612" customWidth="1"/>
    <col min="4614" max="4615" width="16.28515625" style="612" bestFit="1" customWidth="1"/>
    <col min="4616" max="4616" width="14.7109375" style="612" customWidth="1"/>
    <col min="4617" max="4864" width="14.7109375" style="612"/>
    <col min="4865" max="4865" width="5.7109375" style="612" customWidth="1"/>
    <col min="4866" max="4866" width="42.5703125" style="612" customWidth="1"/>
    <col min="4867" max="4867" width="17.28515625" style="612" bestFit="1" customWidth="1"/>
    <col min="4868" max="4868" width="16.85546875" style="612" customWidth="1"/>
    <col min="4869" max="4869" width="18" style="612" customWidth="1"/>
    <col min="4870" max="4871" width="16.28515625" style="612" bestFit="1" customWidth="1"/>
    <col min="4872" max="4872" width="14.7109375" style="612" customWidth="1"/>
    <col min="4873" max="5120" width="14.7109375" style="612"/>
    <col min="5121" max="5121" width="5.7109375" style="612" customWidth="1"/>
    <col min="5122" max="5122" width="42.5703125" style="612" customWidth="1"/>
    <col min="5123" max="5123" width="17.28515625" style="612" bestFit="1" customWidth="1"/>
    <col min="5124" max="5124" width="16.85546875" style="612" customWidth="1"/>
    <col min="5125" max="5125" width="18" style="612" customWidth="1"/>
    <col min="5126" max="5127" width="16.28515625" style="612" bestFit="1" customWidth="1"/>
    <col min="5128" max="5128" width="14.7109375" style="612" customWidth="1"/>
    <col min="5129" max="5376" width="14.7109375" style="612"/>
    <col min="5377" max="5377" width="5.7109375" style="612" customWidth="1"/>
    <col min="5378" max="5378" width="42.5703125" style="612" customWidth="1"/>
    <col min="5379" max="5379" width="17.28515625" style="612" bestFit="1" customWidth="1"/>
    <col min="5380" max="5380" width="16.85546875" style="612" customWidth="1"/>
    <col min="5381" max="5381" width="18" style="612" customWidth="1"/>
    <col min="5382" max="5383" width="16.28515625" style="612" bestFit="1" customWidth="1"/>
    <col min="5384" max="5384" width="14.7109375" style="612" customWidth="1"/>
    <col min="5385" max="5632" width="14.7109375" style="612"/>
    <col min="5633" max="5633" width="5.7109375" style="612" customWidth="1"/>
    <col min="5634" max="5634" width="42.5703125" style="612" customWidth="1"/>
    <col min="5635" max="5635" width="17.28515625" style="612" bestFit="1" customWidth="1"/>
    <col min="5636" max="5636" width="16.85546875" style="612" customWidth="1"/>
    <col min="5637" max="5637" width="18" style="612" customWidth="1"/>
    <col min="5638" max="5639" width="16.28515625" style="612" bestFit="1" customWidth="1"/>
    <col min="5640" max="5640" width="14.7109375" style="612" customWidth="1"/>
    <col min="5641" max="5888" width="14.7109375" style="612"/>
    <col min="5889" max="5889" width="5.7109375" style="612" customWidth="1"/>
    <col min="5890" max="5890" width="42.5703125" style="612" customWidth="1"/>
    <col min="5891" max="5891" width="17.28515625" style="612" bestFit="1" customWidth="1"/>
    <col min="5892" max="5892" width="16.85546875" style="612" customWidth="1"/>
    <col min="5893" max="5893" width="18" style="612" customWidth="1"/>
    <col min="5894" max="5895" width="16.28515625" style="612" bestFit="1" customWidth="1"/>
    <col min="5896" max="5896" width="14.7109375" style="612" customWidth="1"/>
    <col min="5897" max="6144" width="14.7109375" style="612"/>
    <col min="6145" max="6145" width="5.7109375" style="612" customWidth="1"/>
    <col min="6146" max="6146" width="42.5703125" style="612" customWidth="1"/>
    <col min="6147" max="6147" width="17.28515625" style="612" bestFit="1" customWidth="1"/>
    <col min="6148" max="6148" width="16.85546875" style="612" customWidth="1"/>
    <col min="6149" max="6149" width="18" style="612" customWidth="1"/>
    <col min="6150" max="6151" width="16.28515625" style="612" bestFit="1" customWidth="1"/>
    <col min="6152" max="6152" width="14.7109375" style="612" customWidth="1"/>
    <col min="6153" max="6400" width="14.7109375" style="612"/>
    <col min="6401" max="6401" width="5.7109375" style="612" customWidth="1"/>
    <col min="6402" max="6402" width="42.5703125" style="612" customWidth="1"/>
    <col min="6403" max="6403" width="17.28515625" style="612" bestFit="1" customWidth="1"/>
    <col min="6404" max="6404" width="16.85546875" style="612" customWidth="1"/>
    <col min="6405" max="6405" width="18" style="612" customWidth="1"/>
    <col min="6406" max="6407" width="16.28515625" style="612" bestFit="1" customWidth="1"/>
    <col min="6408" max="6408" width="14.7109375" style="612" customWidth="1"/>
    <col min="6409" max="6656" width="14.7109375" style="612"/>
    <col min="6657" max="6657" width="5.7109375" style="612" customWidth="1"/>
    <col min="6658" max="6658" width="42.5703125" style="612" customWidth="1"/>
    <col min="6659" max="6659" width="17.28515625" style="612" bestFit="1" customWidth="1"/>
    <col min="6660" max="6660" width="16.85546875" style="612" customWidth="1"/>
    <col min="6661" max="6661" width="18" style="612" customWidth="1"/>
    <col min="6662" max="6663" width="16.28515625" style="612" bestFit="1" customWidth="1"/>
    <col min="6664" max="6664" width="14.7109375" style="612" customWidth="1"/>
    <col min="6665" max="6912" width="14.7109375" style="612"/>
    <col min="6913" max="6913" width="5.7109375" style="612" customWidth="1"/>
    <col min="6914" max="6914" width="42.5703125" style="612" customWidth="1"/>
    <col min="6915" max="6915" width="17.28515625" style="612" bestFit="1" customWidth="1"/>
    <col min="6916" max="6916" width="16.85546875" style="612" customWidth="1"/>
    <col min="6917" max="6917" width="18" style="612" customWidth="1"/>
    <col min="6918" max="6919" width="16.28515625" style="612" bestFit="1" customWidth="1"/>
    <col min="6920" max="6920" width="14.7109375" style="612" customWidth="1"/>
    <col min="6921" max="7168" width="14.7109375" style="612"/>
    <col min="7169" max="7169" width="5.7109375" style="612" customWidth="1"/>
    <col min="7170" max="7170" width="42.5703125" style="612" customWidth="1"/>
    <col min="7171" max="7171" width="17.28515625" style="612" bestFit="1" customWidth="1"/>
    <col min="7172" max="7172" width="16.85546875" style="612" customWidth="1"/>
    <col min="7173" max="7173" width="18" style="612" customWidth="1"/>
    <col min="7174" max="7175" width="16.28515625" style="612" bestFit="1" customWidth="1"/>
    <col min="7176" max="7176" width="14.7109375" style="612" customWidth="1"/>
    <col min="7177" max="7424" width="14.7109375" style="612"/>
    <col min="7425" max="7425" width="5.7109375" style="612" customWidth="1"/>
    <col min="7426" max="7426" width="42.5703125" style="612" customWidth="1"/>
    <col min="7427" max="7427" width="17.28515625" style="612" bestFit="1" customWidth="1"/>
    <col min="7428" max="7428" width="16.85546875" style="612" customWidth="1"/>
    <col min="7429" max="7429" width="18" style="612" customWidth="1"/>
    <col min="7430" max="7431" width="16.28515625" style="612" bestFit="1" customWidth="1"/>
    <col min="7432" max="7432" width="14.7109375" style="612" customWidth="1"/>
    <col min="7433" max="7680" width="14.7109375" style="612"/>
    <col min="7681" max="7681" width="5.7109375" style="612" customWidth="1"/>
    <col min="7682" max="7682" width="42.5703125" style="612" customWidth="1"/>
    <col min="7683" max="7683" width="17.28515625" style="612" bestFit="1" customWidth="1"/>
    <col min="7684" max="7684" width="16.85546875" style="612" customWidth="1"/>
    <col min="7685" max="7685" width="18" style="612" customWidth="1"/>
    <col min="7686" max="7687" width="16.28515625" style="612" bestFit="1" customWidth="1"/>
    <col min="7688" max="7688" width="14.7109375" style="612" customWidth="1"/>
    <col min="7689" max="7936" width="14.7109375" style="612"/>
    <col min="7937" max="7937" width="5.7109375" style="612" customWidth="1"/>
    <col min="7938" max="7938" width="42.5703125" style="612" customWidth="1"/>
    <col min="7939" max="7939" width="17.28515625" style="612" bestFit="1" customWidth="1"/>
    <col min="7940" max="7940" width="16.85546875" style="612" customWidth="1"/>
    <col min="7941" max="7941" width="18" style="612" customWidth="1"/>
    <col min="7942" max="7943" width="16.28515625" style="612" bestFit="1" customWidth="1"/>
    <col min="7944" max="7944" width="14.7109375" style="612" customWidth="1"/>
    <col min="7945" max="8192" width="14.7109375" style="612"/>
    <col min="8193" max="8193" width="5.7109375" style="612" customWidth="1"/>
    <col min="8194" max="8194" width="42.5703125" style="612" customWidth="1"/>
    <col min="8195" max="8195" width="17.28515625" style="612" bestFit="1" customWidth="1"/>
    <col min="8196" max="8196" width="16.85546875" style="612" customWidth="1"/>
    <col min="8197" max="8197" width="18" style="612" customWidth="1"/>
    <col min="8198" max="8199" width="16.28515625" style="612" bestFit="1" customWidth="1"/>
    <col min="8200" max="8200" width="14.7109375" style="612" customWidth="1"/>
    <col min="8201" max="8448" width="14.7109375" style="612"/>
    <col min="8449" max="8449" width="5.7109375" style="612" customWidth="1"/>
    <col min="8450" max="8450" width="42.5703125" style="612" customWidth="1"/>
    <col min="8451" max="8451" width="17.28515625" style="612" bestFit="1" customWidth="1"/>
    <col min="8452" max="8452" width="16.85546875" style="612" customWidth="1"/>
    <col min="8453" max="8453" width="18" style="612" customWidth="1"/>
    <col min="8454" max="8455" width="16.28515625" style="612" bestFit="1" customWidth="1"/>
    <col min="8456" max="8456" width="14.7109375" style="612" customWidth="1"/>
    <col min="8457" max="8704" width="14.7109375" style="612"/>
    <col min="8705" max="8705" width="5.7109375" style="612" customWidth="1"/>
    <col min="8706" max="8706" width="42.5703125" style="612" customWidth="1"/>
    <col min="8707" max="8707" width="17.28515625" style="612" bestFit="1" customWidth="1"/>
    <col min="8708" max="8708" width="16.85546875" style="612" customWidth="1"/>
    <col min="8709" max="8709" width="18" style="612" customWidth="1"/>
    <col min="8710" max="8711" width="16.28515625" style="612" bestFit="1" customWidth="1"/>
    <col min="8712" max="8712" width="14.7109375" style="612" customWidth="1"/>
    <col min="8713" max="8960" width="14.7109375" style="612"/>
    <col min="8961" max="8961" width="5.7109375" style="612" customWidth="1"/>
    <col min="8962" max="8962" width="42.5703125" style="612" customWidth="1"/>
    <col min="8963" max="8963" width="17.28515625" style="612" bestFit="1" customWidth="1"/>
    <col min="8964" max="8964" width="16.85546875" style="612" customWidth="1"/>
    <col min="8965" max="8965" width="18" style="612" customWidth="1"/>
    <col min="8966" max="8967" width="16.28515625" style="612" bestFit="1" customWidth="1"/>
    <col min="8968" max="8968" width="14.7109375" style="612" customWidth="1"/>
    <col min="8969" max="9216" width="14.7109375" style="612"/>
    <col min="9217" max="9217" width="5.7109375" style="612" customWidth="1"/>
    <col min="9218" max="9218" width="42.5703125" style="612" customWidth="1"/>
    <col min="9219" max="9219" width="17.28515625" style="612" bestFit="1" customWidth="1"/>
    <col min="9220" max="9220" width="16.85546875" style="612" customWidth="1"/>
    <col min="9221" max="9221" width="18" style="612" customWidth="1"/>
    <col min="9222" max="9223" width="16.28515625" style="612" bestFit="1" customWidth="1"/>
    <col min="9224" max="9224" width="14.7109375" style="612" customWidth="1"/>
    <col min="9225" max="9472" width="14.7109375" style="612"/>
    <col min="9473" max="9473" width="5.7109375" style="612" customWidth="1"/>
    <col min="9474" max="9474" width="42.5703125" style="612" customWidth="1"/>
    <col min="9475" max="9475" width="17.28515625" style="612" bestFit="1" customWidth="1"/>
    <col min="9476" max="9476" width="16.85546875" style="612" customWidth="1"/>
    <col min="9477" max="9477" width="18" style="612" customWidth="1"/>
    <col min="9478" max="9479" width="16.28515625" style="612" bestFit="1" customWidth="1"/>
    <col min="9480" max="9480" width="14.7109375" style="612" customWidth="1"/>
    <col min="9481" max="9728" width="14.7109375" style="612"/>
    <col min="9729" max="9729" width="5.7109375" style="612" customWidth="1"/>
    <col min="9730" max="9730" width="42.5703125" style="612" customWidth="1"/>
    <col min="9731" max="9731" width="17.28515625" style="612" bestFit="1" customWidth="1"/>
    <col min="9732" max="9732" width="16.85546875" style="612" customWidth="1"/>
    <col min="9733" max="9733" width="18" style="612" customWidth="1"/>
    <col min="9734" max="9735" width="16.28515625" style="612" bestFit="1" customWidth="1"/>
    <col min="9736" max="9736" width="14.7109375" style="612" customWidth="1"/>
    <col min="9737" max="9984" width="14.7109375" style="612"/>
    <col min="9985" max="9985" width="5.7109375" style="612" customWidth="1"/>
    <col min="9986" max="9986" width="42.5703125" style="612" customWidth="1"/>
    <col min="9987" max="9987" width="17.28515625" style="612" bestFit="1" customWidth="1"/>
    <col min="9988" max="9988" width="16.85546875" style="612" customWidth="1"/>
    <col min="9989" max="9989" width="18" style="612" customWidth="1"/>
    <col min="9990" max="9991" width="16.28515625" style="612" bestFit="1" customWidth="1"/>
    <col min="9992" max="9992" width="14.7109375" style="612" customWidth="1"/>
    <col min="9993" max="10240" width="14.7109375" style="612"/>
    <col min="10241" max="10241" width="5.7109375" style="612" customWidth="1"/>
    <col min="10242" max="10242" width="42.5703125" style="612" customWidth="1"/>
    <col min="10243" max="10243" width="17.28515625" style="612" bestFit="1" customWidth="1"/>
    <col min="10244" max="10244" width="16.85546875" style="612" customWidth="1"/>
    <col min="10245" max="10245" width="18" style="612" customWidth="1"/>
    <col min="10246" max="10247" width="16.28515625" style="612" bestFit="1" customWidth="1"/>
    <col min="10248" max="10248" width="14.7109375" style="612" customWidth="1"/>
    <col min="10249" max="10496" width="14.7109375" style="612"/>
    <col min="10497" max="10497" width="5.7109375" style="612" customWidth="1"/>
    <col min="10498" max="10498" width="42.5703125" style="612" customWidth="1"/>
    <col min="10499" max="10499" width="17.28515625" style="612" bestFit="1" customWidth="1"/>
    <col min="10500" max="10500" width="16.85546875" style="612" customWidth="1"/>
    <col min="10501" max="10501" width="18" style="612" customWidth="1"/>
    <col min="10502" max="10503" width="16.28515625" style="612" bestFit="1" customWidth="1"/>
    <col min="10504" max="10504" width="14.7109375" style="612" customWidth="1"/>
    <col min="10505" max="10752" width="14.7109375" style="612"/>
    <col min="10753" max="10753" width="5.7109375" style="612" customWidth="1"/>
    <col min="10754" max="10754" width="42.5703125" style="612" customWidth="1"/>
    <col min="10755" max="10755" width="17.28515625" style="612" bestFit="1" customWidth="1"/>
    <col min="10756" max="10756" width="16.85546875" style="612" customWidth="1"/>
    <col min="10757" max="10757" width="18" style="612" customWidth="1"/>
    <col min="10758" max="10759" width="16.28515625" style="612" bestFit="1" customWidth="1"/>
    <col min="10760" max="10760" width="14.7109375" style="612" customWidth="1"/>
    <col min="10761" max="11008" width="14.7109375" style="612"/>
    <col min="11009" max="11009" width="5.7109375" style="612" customWidth="1"/>
    <col min="11010" max="11010" width="42.5703125" style="612" customWidth="1"/>
    <col min="11011" max="11011" width="17.28515625" style="612" bestFit="1" customWidth="1"/>
    <col min="11012" max="11012" width="16.85546875" style="612" customWidth="1"/>
    <col min="11013" max="11013" width="18" style="612" customWidth="1"/>
    <col min="11014" max="11015" width="16.28515625" style="612" bestFit="1" customWidth="1"/>
    <col min="11016" max="11016" width="14.7109375" style="612" customWidth="1"/>
    <col min="11017" max="11264" width="14.7109375" style="612"/>
    <col min="11265" max="11265" width="5.7109375" style="612" customWidth="1"/>
    <col min="11266" max="11266" width="42.5703125" style="612" customWidth="1"/>
    <col min="11267" max="11267" width="17.28515625" style="612" bestFit="1" customWidth="1"/>
    <col min="11268" max="11268" width="16.85546875" style="612" customWidth="1"/>
    <col min="11269" max="11269" width="18" style="612" customWidth="1"/>
    <col min="11270" max="11271" width="16.28515625" style="612" bestFit="1" customWidth="1"/>
    <col min="11272" max="11272" width="14.7109375" style="612" customWidth="1"/>
    <col min="11273" max="11520" width="14.7109375" style="612"/>
    <col min="11521" max="11521" width="5.7109375" style="612" customWidth="1"/>
    <col min="11522" max="11522" width="42.5703125" style="612" customWidth="1"/>
    <col min="11523" max="11523" width="17.28515625" style="612" bestFit="1" customWidth="1"/>
    <col min="11524" max="11524" width="16.85546875" style="612" customWidth="1"/>
    <col min="11525" max="11525" width="18" style="612" customWidth="1"/>
    <col min="11526" max="11527" width="16.28515625" style="612" bestFit="1" customWidth="1"/>
    <col min="11528" max="11528" width="14.7109375" style="612" customWidth="1"/>
    <col min="11529" max="11776" width="14.7109375" style="612"/>
    <col min="11777" max="11777" width="5.7109375" style="612" customWidth="1"/>
    <col min="11778" max="11778" width="42.5703125" style="612" customWidth="1"/>
    <col min="11779" max="11779" width="17.28515625" style="612" bestFit="1" customWidth="1"/>
    <col min="11780" max="11780" width="16.85546875" style="612" customWidth="1"/>
    <col min="11781" max="11781" width="18" style="612" customWidth="1"/>
    <col min="11782" max="11783" width="16.28515625" style="612" bestFit="1" customWidth="1"/>
    <col min="11784" max="11784" width="14.7109375" style="612" customWidth="1"/>
    <col min="11785" max="12032" width="14.7109375" style="612"/>
    <col min="12033" max="12033" width="5.7109375" style="612" customWidth="1"/>
    <col min="12034" max="12034" width="42.5703125" style="612" customWidth="1"/>
    <col min="12035" max="12035" width="17.28515625" style="612" bestFit="1" customWidth="1"/>
    <col min="12036" max="12036" width="16.85546875" style="612" customWidth="1"/>
    <col min="12037" max="12037" width="18" style="612" customWidth="1"/>
    <col min="12038" max="12039" width="16.28515625" style="612" bestFit="1" customWidth="1"/>
    <col min="12040" max="12040" width="14.7109375" style="612" customWidth="1"/>
    <col min="12041" max="12288" width="14.7109375" style="612"/>
    <col min="12289" max="12289" width="5.7109375" style="612" customWidth="1"/>
    <col min="12290" max="12290" width="42.5703125" style="612" customWidth="1"/>
    <col min="12291" max="12291" width="17.28515625" style="612" bestFit="1" customWidth="1"/>
    <col min="12292" max="12292" width="16.85546875" style="612" customWidth="1"/>
    <col min="12293" max="12293" width="18" style="612" customWidth="1"/>
    <col min="12294" max="12295" width="16.28515625" style="612" bestFit="1" customWidth="1"/>
    <col min="12296" max="12296" width="14.7109375" style="612" customWidth="1"/>
    <col min="12297" max="12544" width="14.7109375" style="612"/>
    <col min="12545" max="12545" width="5.7109375" style="612" customWidth="1"/>
    <col min="12546" max="12546" width="42.5703125" style="612" customWidth="1"/>
    <col min="12547" max="12547" width="17.28515625" style="612" bestFit="1" customWidth="1"/>
    <col min="12548" max="12548" width="16.85546875" style="612" customWidth="1"/>
    <col min="12549" max="12549" width="18" style="612" customWidth="1"/>
    <col min="12550" max="12551" width="16.28515625" style="612" bestFit="1" customWidth="1"/>
    <col min="12552" max="12552" width="14.7109375" style="612" customWidth="1"/>
    <col min="12553" max="12800" width="14.7109375" style="612"/>
    <col min="12801" max="12801" width="5.7109375" style="612" customWidth="1"/>
    <col min="12802" max="12802" width="42.5703125" style="612" customWidth="1"/>
    <col min="12803" max="12803" width="17.28515625" style="612" bestFit="1" customWidth="1"/>
    <col min="12804" max="12804" width="16.85546875" style="612" customWidth="1"/>
    <col min="12805" max="12805" width="18" style="612" customWidth="1"/>
    <col min="12806" max="12807" width="16.28515625" style="612" bestFit="1" customWidth="1"/>
    <col min="12808" max="12808" width="14.7109375" style="612" customWidth="1"/>
    <col min="12809" max="13056" width="14.7109375" style="612"/>
    <col min="13057" max="13057" width="5.7109375" style="612" customWidth="1"/>
    <col min="13058" max="13058" width="42.5703125" style="612" customWidth="1"/>
    <col min="13059" max="13059" width="17.28515625" style="612" bestFit="1" customWidth="1"/>
    <col min="13060" max="13060" width="16.85546875" style="612" customWidth="1"/>
    <col min="13061" max="13061" width="18" style="612" customWidth="1"/>
    <col min="13062" max="13063" width="16.28515625" style="612" bestFit="1" customWidth="1"/>
    <col min="13064" max="13064" width="14.7109375" style="612" customWidth="1"/>
    <col min="13065" max="13312" width="14.7109375" style="612"/>
    <col min="13313" max="13313" width="5.7109375" style="612" customWidth="1"/>
    <col min="13314" max="13314" width="42.5703125" style="612" customWidth="1"/>
    <col min="13315" max="13315" width="17.28515625" style="612" bestFit="1" customWidth="1"/>
    <col min="13316" max="13316" width="16.85546875" style="612" customWidth="1"/>
    <col min="13317" max="13317" width="18" style="612" customWidth="1"/>
    <col min="13318" max="13319" width="16.28515625" style="612" bestFit="1" customWidth="1"/>
    <col min="13320" max="13320" width="14.7109375" style="612" customWidth="1"/>
    <col min="13321" max="13568" width="14.7109375" style="612"/>
    <col min="13569" max="13569" width="5.7109375" style="612" customWidth="1"/>
    <col min="13570" max="13570" width="42.5703125" style="612" customWidth="1"/>
    <col min="13571" max="13571" width="17.28515625" style="612" bestFit="1" customWidth="1"/>
    <col min="13572" max="13572" width="16.85546875" style="612" customWidth="1"/>
    <col min="13573" max="13573" width="18" style="612" customWidth="1"/>
    <col min="13574" max="13575" width="16.28515625" style="612" bestFit="1" customWidth="1"/>
    <col min="13576" max="13576" width="14.7109375" style="612" customWidth="1"/>
    <col min="13577" max="13824" width="14.7109375" style="612"/>
    <col min="13825" max="13825" width="5.7109375" style="612" customWidth="1"/>
    <col min="13826" max="13826" width="42.5703125" style="612" customWidth="1"/>
    <col min="13827" max="13827" width="17.28515625" style="612" bestFit="1" customWidth="1"/>
    <col min="13828" max="13828" width="16.85546875" style="612" customWidth="1"/>
    <col min="13829" max="13829" width="18" style="612" customWidth="1"/>
    <col min="13830" max="13831" width="16.28515625" style="612" bestFit="1" customWidth="1"/>
    <col min="13832" max="13832" width="14.7109375" style="612" customWidth="1"/>
    <col min="13833" max="14080" width="14.7109375" style="612"/>
    <col min="14081" max="14081" width="5.7109375" style="612" customWidth="1"/>
    <col min="14082" max="14082" width="42.5703125" style="612" customWidth="1"/>
    <col min="14083" max="14083" width="17.28515625" style="612" bestFit="1" customWidth="1"/>
    <col min="14084" max="14084" width="16.85546875" style="612" customWidth="1"/>
    <col min="14085" max="14085" width="18" style="612" customWidth="1"/>
    <col min="14086" max="14087" width="16.28515625" style="612" bestFit="1" customWidth="1"/>
    <col min="14088" max="14088" width="14.7109375" style="612" customWidth="1"/>
    <col min="14089" max="14336" width="14.7109375" style="612"/>
    <col min="14337" max="14337" width="5.7109375" style="612" customWidth="1"/>
    <col min="14338" max="14338" width="42.5703125" style="612" customWidth="1"/>
    <col min="14339" max="14339" width="17.28515625" style="612" bestFit="1" customWidth="1"/>
    <col min="14340" max="14340" width="16.85546875" style="612" customWidth="1"/>
    <col min="14341" max="14341" width="18" style="612" customWidth="1"/>
    <col min="14342" max="14343" width="16.28515625" style="612" bestFit="1" customWidth="1"/>
    <col min="14344" max="14344" width="14.7109375" style="612" customWidth="1"/>
    <col min="14345" max="14592" width="14.7109375" style="612"/>
    <col min="14593" max="14593" width="5.7109375" style="612" customWidth="1"/>
    <col min="14594" max="14594" width="42.5703125" style="612" customWidth="1"/>
    <col min="14595" max="14595" width="17.28515625" style="612" bestFit="1" customWidth="1"/>
    <col min="14596" max="14596" width="16.85546875" style="612" customWidth="1"/>
    <col min="14597" max="14597" width="18" style="612" customWidth="1"/>
    <col min="14598" max="14599" width="16.28515625" style="612" bestFit="1" customWidth="1"/>
    <col min="14600" max="14600" width="14.7109375" style="612" customWidth="1"/>
    <col min="14601" max="14848" width="14.7109375" style="612"/>
    <col min="14849" max="14849" width="5.7109375" style="612" customWidth="1"/>
    <col min="14850" max="14850" width="42.5703125" style="612" customWidth="1"/>
    <col min="14851" max="14851" width="17.28515625" style="612" bestFit="1" customWidth="1"/>
    <col min="14852" max="14852" width="16.85546875" style="612" customWidth="1"/>
    <col min="14853" max="14853" width="18" style="612" customWidth="1"/>
    <col min="14854" max="14855" width="16.28515625" style="612" bestFit="1" customWidth="1"/>
    <col min="14856" max="14856" width="14.7109375" style="612" customWidth="1"/>
    <col min="14857" max="15104" width="14.7109375" style="612"/>
    <col min="15105" max="15105" width="5.7109375" style="612" customWidth="1"/>
    <col min="15106" max="15106" width="42.5703125" style="612" customWidth="1"/>
    <col min="15107" max="15107" width="17.28515625" style="612" bestFit="1" customWidth="1"/>
    <col min="15108" max="15108" width="16.85546875" style="612" customWidth="1"/>
    <col min="15109" max="15109" width="18" style="612" customWidth="1"/>
    <col min="15110" max="15111" width="16.28515625" style="612" bestFit="1" customWidth="1"/>
    <col min="15112" max="15112" width="14.7109375" style="612" customWidth="1"/>
    <col min="15113" max="15360" width="14.7109375" style="612"/>
    <col min="15361" max="15361" width="5.7109375" style="612" customWidth="1"/>
    <col min="15362" max="15362" width="42.5703125" style="612" customWidth="1"/>
    <col min="15363" max="15363" width="17.28515625" style="612" bestFit="1" customWidth="1"/>
    <col min="15364" max="15364" width="16.85546875" style="612" customWidth="1"/>
    <col min="15365" max="15365" width="18" style="612" customWidth="1"/>
    <col min="15366" max="15367" width="16.28515625" style="612" bestFit="1" customWidth="1"/>
    <col min="15368" max="15368" width="14.7109375" style="612" customWidth="1"/>
    <col min="15369" max="15616" width="14.7109375" style="612"/>
    <col min="15617" max="15617" width="5.7109375" style="612" customWidth="1"/>
    <col min="15618" max="15618" width="42.5703125" style="612" customWidth="1"/>
    <col min="15619" max="15619" width="17.28515625" style="612" bestFit="1" customWidth="1"/>
    <col min="15620" max="15620" width="16.85546875" style="612" customWidth="1"/>
    <col min="15621" max="15621" width="18" style="612" customWidth="1"/>
    <col min="15622" max="15623" width="16.28515625" style="612" bestFit="1" customWidth="1"/>
    <col min="15624" max="15624" width="14.7109375" style="612" customWidth="1"/>
    <col min="15625" max="15872" width="14.7109375" style="612"/>
    <col min="15873" max="15873" width="5.7109375" style="612" customWidth="1"/>
    <col min="15874" max="15874" width="42.5703125" style="612" customWidth="1"/>
    <col min="15875" max="15875" width="17.28515625" style="612" bestFit="1" customWidth="1"/>
    <col min="15876" max="15876" width="16.85546875" style="612" customWidth="1"/>
    <col min="15877" max="15877" width="18" style="612" customWidth="1"/>
    <col min="15878" max="15879" width="16.28515625" style="612" bestFit="1" customWidth="1"/>
    <col min="15880" max="15880" width="14.7109375" style="612" customWidth="1"/>
    <col min="15881" max="16128" width="14.7109375" style="612"/>
    <col min="16129" max="16129" width="5.7109375" style="612" customWidth="1"/>
    <col min="16130" max="16130" width="42.5703125" style="612" customWidth="1"/>
    <col min="16131" max="16131" width="17.28515625" style="612" bestFit="1" customWidth="1"/>
    <col min="16132" max="16132" width="16.85546875" style="612" customWidth="1"/>
    <col min="16133" max="16133" width="18" style="612" customWidth="1"/>
    <col min="16134" max="16135" width="16.28515625" style="612" bestFit="1" customWidth="1"/>
    <col min="16136" max="16136" width="14.7109375" style="612" customWidth="1"/>
    <col min="16137" max="16384" width="14.7109375" style="612"/>
  </cols>
  <sheetData>
    <row r="1" spans="1:7" ht="15.75">
      <c r="A1" s="739" t="s">
        <v>406</v>
      </c>
    </row>
    <row r="2" spans="1:7" ht="15.75">
      <c r="A2" s="739" t="s">
        <v>406</v>
      </c>
    </row>
    <row r="3" spans="1:7" ht="19.5">
      <c r="B3" s="1220" t="s">
        <v>321</v>
      </c>
      <c r="C3" s="1220"/>
      <c r="D3" s="1220"/>
      <c r="E3" s="1220"/>
      <c r="F3" s="611"/>
      <c r="G3" s="611"/>
    </row>
    <row r="4" spans="1:7" ht="19.5">
      <c r="B4" s="1220" t="s">
        <v>216</v>
      </c>
      <c r="C4" s="1220"/>
      <c r="D4" s="1220"/>
      <c r="E4" s="1220"/>
      <c r="F4" s="611"/>
      <c r="G4" s="611"/>
    </row>
    <row r="5" spans="1:7" ht="19.5">
      <c r="B5" s="1220" t="s">
        <v>217</v>
      </c>
      <c r="C5" s="1220"/>
      <c r="D5" s="1220"/>
      <c r="E5" s="1220"/>
      <c r="F5" s="611"/>
      <c r="G5" s="611"/>
    </row>
    <row r="6" spans="1:7" ht="19.5">
      <c r="B6" s="1220" t="s">
        <v>218</v>
      </c>
      <c r="C6" s="1220"/>
      <c r="D6" s="1220"/>
      <c r="E6" s="1220"/>
      <c r="F6" s="611"/>
      <c r="G6" s="611"/>
    </row>
    <row r="7" spans="1:7" ht="19.5">
      <c r="B7" s="1220" t="s">
        <v>974</v>
      </c>
      <c r="C7" s="1220"/>
      <c r="D7" s="1220"/>
      <c r="E7" s="1220"/>
      <c r="F7" s="611"/>
      <c r="G7" s="611"/>
    </row>
    <row r="8" spans="1:7" ht="19.5">
      <c r="B8" s="1220"/>
      <c r="C8" s="1220"/>
      <c r="D8" s="1220"/>
      <c r="E8" s="1220"/>
      <c r="F8" s="611"/>
      <c r="G8" s="611"/>
    </row>
    <row r="9" spans="1:7" ht="19.5">
      <c r="B9" s="1215" t="s">
        <v>796</v>
      </c>
      <c r="C9" s="1137"/>
      <c r="D9" s="1137"/>
      <c r="E9" s="1137"/>
      <c r="F9" s="611"/>
      <c r="G9" s="611"/>
    </row>
    <row r="11" spans="1:7">
      <c r="B11" s="613"/>
      <c r="C11" s="613"/>
      <c r="D11" s="614"/>
    </row>
    <row r="12" spans="1:7" ht="15" customHeight="1">
      <c r="B12" s="613"/>
      <c r="C12" s="613"/>
      <c r="D12" s="614"/>
    </row>
    <row r="13" spans="1:7" ht="15.75">
      <c r="B13" s="613"/>
      <c r="C13" s="615" t="s">
        <v>33</v>
      </c>
      <c r="D13" s="615" t="s">
        <v>35</v>
      </c>
    </row>
    <row r="14" spans="1:7" ht="16.5" thickBot="1">
      <c r="B14" s="614"/>
      <c r="C14" s="615" t="s">
        <v>34</v>
      </c>
      <c r="D14" s="616" t="s">
        <v>287</v>
      </c>
    </row>
    <row r="15" spans="1:7">
      <c r="B15" s="617" t="s">
        <v>36</v>
      </c>
      <c r="C15" s="618"/>
      <c r="D15" s="104"/>
    </row>
    <row r="16" spans="1:7">
      <c r="B16" s="619"/>
      <c r="C16" s="613"/>
      <c r="D16" s="105"/>
    </row>
    <row r="17" spans="2:5">
      <c r="B17" s="133" t="s">
        <v>889</v>
      </c>
      <c r="C17" s="125">
        <v>351</v>
      </c>
      <c r="D17" s="112">
        <v>0</v>
      </c>
    </row>
    <row r="18" spans="2:5">
      <c r="B18" s="133" t="s">
        <v>890</v>
      </c>
      <c r="C18" s="125">
        <v>352</v>
      </c>
      <c r="D18" s="112">
        <v>2.2200000000000001E-2</v>
      </c>
      <c r="E18" s="112"/>
    </row>
    <row r="19" spans="2:5">
      <c r="B19" s="133" t="s">
        <v>891</v>
      </c>
      <c r="C19" s="125">
        <v>353</v>
      </c>
      <c r="D19" s="112">
        <v>2.75E-2</v>
      </c>
    </row>
    <row r="20" spans="2:5">
      <c r="B20" s="133" t="s">
        <v>892</v>
      </c>
      <c r="C20" s="125">
        <v>354</v>
      </c>
      <c r="D20" s="112">
        <v>1.6299999999999999E-2</v>
      </c>
    </row>
    <row r="21" spans="2:5">
      <c r="B21" s="133" t="s">
        <v>893</v>
      </c>
      <c r="C21" s="125">
        <v>355</v>
      </c>
      <c r="D21" s="112">
        <v>3.7199999999999997E-2</v>
      </c>
      <c r="E21" s="112"/>
    </row>
    <row r="22" spans="2:5">
      <c r="B22" s="133" t="s">
        <v>894</v>
      </c>
      <c r="C22" s="125">
        <v>356</v>
      </c>
      <c r="D22" s="112">
        <v>1.9900000000000001E-2</v>
      </c>
      <c r="E22" s="620"/>
    </row>
    <row r="23" spans="2:5">
      <c r="B23" s="133" t="s">
        <v>895</v>
      </c>
      <c r="C23" s="125">
        <v>357</v>
      </c>
      <c r="D23" s="112">
        <v>2.4E-2</v>
      </c>
    </row>
    <row r="24" spans="2:5">
      <c r="B24" s="133" t="s">
        <v>896</v>
      </c>
      <c r="C24" s="125">
        <v>358</v>
      </c>
      <c r="D24" s="112">
        <v>4.6399999999999997E-2</v>
      </c>
    </row>
    <row r="25" spans="2:5">
      <c r="C25" s="125"/>
      <c r="D25" s="112"/>
    </row>
    <row r="26" spans="2:5" ht="15.75" thickBot="1">
      <c r="C26" s="125"/>
      <c r="D26" s="112"/>
    </row>
    <row r="27" spans="2:5">
      <c r="B27" s="617" t="s">
        <v>809</v>
      </c>
      <c r="C27" s="618"/>
      <c r="D27" s="104"/>
    </row>
    <row r="28" spans="2:5">
      <c r="C28" s="125"/>
      <c r="D28" s="112"/>
    </row>
    <row r="29" spans="2:5">
      <c r="B29" s="133" t="s">
        <v>890</v>
      </c>
      <c r="C29" s="125">
        <v>390</v>
      </c>
      <c r="D29" s="112">
        <v>2.06E-2</v>
      </c>
    </row>
    <row r="30" spans="2:5">
      <c r="B30" s="133" t="s">
        <v>897</v>
      </c>
      <c r="C30" s="125">
        <v>391</v>
      </c>
      <c r="D30" s="112">
        <v>3.2500000000000001E-2</v>
      </c>
    </row>
    <row r="31" spans="2:5">
      <c r="B31" s="133" t="s">
        <v>898</v>
      </c>
      <c r="C31" s="125">
        <v>392</v>
      </c>
      <c r="D31" s="112">
        <v>3.4500000000000003E-2</v>
      </c>
    </row>
    <row r="32" spans="2:5">
      <c r="B32" s="133" t="s">
        <v>807</v>
      </c>
      <c r="C32" s="125">
        <v>393</v>
      </c>
      <c r="D32" s="112">
        <v>1.78E-2</v>
      </c>
    </row>
    <row r="33" spans="2:5">
      <c r="B33" s="133" t="s">
        <v>899</v>
      </c>
      <c r="C33" s="125">
        <v>394</v>
      </c>
      <c r="D33" s="112">
        <v>2.5899999999999999E-2</v>
      </c>
    </row>
    <row r="34" spans="2:5">
      <c r="B34" s="133" t="s">
        <v>808</v>
      </c>
      <c r="C34" s="125">
        <v>395</v>
      </c>
      <c r="D34" s="112">
        <v>3.5000000000000003E-2</v>
      </c>
    </row>
    <row r="35" spans="2:5">
      <c r="B35" s="133" t="s">
        <v>900</v>
      </c>
      <c r="C35" s="125">
        <v>397</v>
      </c>
      <c r="D35" s="112">
        <v>4.1599999999999998E-2</v>
      </c>
    </row>
    <row r="36" spans="2:5">
      <c r="B36" s="133" t="s">
        <v>901</v>
      </c>
      <c r="C36" s="125">
        <v>398</v>
      </c>
      <c r="D36" s="112">
        <v>5.0200000000000009E-2</v>
      </c>
    </row>
    <row r="37" spans="2:5">
      <c r="C37" s="125"/>
      <c r="D37" s="112">
        <v>2.7099999999999999E-2</v>
      </c>
    </row>
    <row r="38" spans="2:5" ht="64.900000000000006" customHeight="1">
      <c r="B38" s="1216" t="s">
        <v>975</v>
      </c>
      <c r="C38" s="1217"/>
      <c r="D38" s="1217"/>
      <c r="E38" s="1217"/>
    </row>
    <row r="39" spans="2:5">
      <c r="B39" s="621"/>
      <c r="C39" s="450"/>
      <c r="D39" s="450"/>
      <c r="E39" s="450"/>
    </row>
    <row r="40" spans="2:5" ht="15.75">
      <c r="B40" s="622" t="s">
        <v>64</v>
      </c>
      <c r="C40" s="623" t="s">
        <v>614</v>
      </c>
      <c r="D40" s="623" t="s">
        <v>615</v>
      </c>
      <c r="E40" s="624" t="s">
        <v>537</v>
      </c>
    </row>
    <row r="41" spans="2:5">
      <c r="B41" s="625" t="s">
        <v>536</v>
      </c>
      <c r="C41" s="626">
        <v>1811822367</v>
      </c>
      <c r="D41" s="626">
        <v>29740179</v>
      </c>
      <c r="E41" s="627">
        <f>C41+D41</f>
        <v>1841562546</v>
      </c>
    </row>
    <row r="42" spans="2:5">
      <c r="B42" s="625" t="s">
        <v>535</v>
      </c>
      <c r="C42" s="626">
        <v>1752450105</v>
      </c>
      <c r="D42" s="626">
        <v>25887202</v>
      </c>
      <c r="E42" s="627">
        <f>C42+D42</f>
        <v>1778337307</v>
      </c>
    </row>
    <row r="43" spans="2:5">
      <c r="B43" s="625" t="s">
        <v>222</v>
      </c>
      <c r="C43" s="626">
        <f>AVERAGE(C41:C42)</f>
        <v>1782136236</v>
      </c>
      <c r="D43" s="626">
        <f>AVERAGE(D41:D42)</f>
        <v>27813690.5</v>
      </c>
      <c r="E43" s="627">
        <f>C43+D43</f>
        <v>1809949926.5</v>
      </c>
    </row>
    <row r="44" spans="2:5">
      <c r="B44" s="628" t="s">
        <v>538</v>
      </c>
      <c r="C44" s="626">
        <v>29597240</v>
      </c>
      <c r="D44" s="626">
        <v>752928</v>
      </c>
      <c r="E44" s="627">
        <f>C44+D44</f>
        <v>30350168</v>
      </c>
    </row>
    <row r="45" spans="2:5" ht="15.75">
      <c r="B45" s="629" t="s">
        <v>37</v>
      </c>
      <c r="C45" s="630" t="s">
        <v>406</v>
      </c>
      <c r="D45" s="630" t="s">
        <v>406</v>
      </c>
      <c r="E45" s="631">
        <f>E44/E43</f>
        <v>1.6768512518293692E-2</v>
      </c>
    </row>
    <row r="47" spans="2:5">
      <c r="B47" s="1218" t="s">
        <v>620</v>
      </c>
      <c r="C47" s="1219"/>
      <c r="D47" s="1219"/>
      <c r="E47" s="1219"/>
    </row>
    <row r="48" spans="2:5">
      <c r="B48" s="1219"/>
      <c r="C48" s="1219"/>
      <c r="D48" s="1219"/>
      <c r="E48" s="1219"/>
    </row>
    <row r="49" spans="2:5" ht="63" customHeight="1">
      <c r="B49" s="1219"/>
      <c r="C49" s="1219"/>
      <c r="D49" s="1219"/>
      <c r="E49" s="1219"/>
    </row>
  </sheetData>
  <mergeCells count="9">
    <mergeCell ref="B9:E9"/>
    <mergeCell ref="B38:E38"/>
    <mergeCell ref="B47:E49"/>
    <mergeCell ref="B3:E3"/>
    <mergeCell ref="B4:E4"/>
    <mergeCell ref="B5:E5"/>
    <mergeCell ref="B6:E6"/>
    <mergeCell ref="B7:E7"/>
    <mergeCell ref="B8:E8"/>
  </mergeCells>
  <conditionalFormatting sqref="B3:B9 H3:IV10 C4:E8 F4:G9 B11:IV11 F12:IV65536 B50:E65536">
    <cfRule type="cellIs" dxfId="3" priority="4" stopIfTrue="1" operator="lessThan">
      <formula>0</formula>
    </cfRule>
  </conditionalFormatting>
  <conditionalFormatting sqref="B24:D37">
    <cfRule type="cellIs" dxfId="2" priority="2" stopIfTrue="1" operator="lessThan">
      <formula>0</formula>
    </cfRule>
  </conditionalFormatting>
  <conditionalFormatting sqref="C40:E45">
    <cfRule type="cellIs" dxfId="1" priority="1" stopIfTrue="1" operator="lessThan">
      <formula>0</formula>
    </cfRule>
  </conditionalFormatting>
  <conditionalFormatting sqref="D12:D13 B12:C23 E12:E37 D15:D23 B38:B44 D46 B46:B47">
    <cfRule type="cellIs" dxfId="0" priority="3" stopIfTrue="1" operator="lessThan">
      <formula>0</formula>
    </cfRule>
  </conditionalFormatting>
  <pageMargins left="0.55000000000000004" right="0.55000000000000004" top="1.25" bottom="0.75" header="0.75" footer="0.27"/>
  <pageSetup scale="67"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238"/>
  <sheetViews>
    <sheetView tabSelected="1" view="pageBreakPreview" zoomScale="75" zoomScaleNormal="75" zoomScaleSheetLayoutView="75" workbookViewId="0">
      <selection activeCell="L25" sqref="L25"/>
    </sheetView>
  </sheetViews>
  <sheetFormatPr defaultRowHeight="12.75"/>
  <cols>
    <col min="1" max="1" width="4.5703125" style="632" customWidth="1"/>
    <col min="2" max="2" width="68.140625" style="632" customWidth="1"/>
    <col min="3" max="3" width="18.140625" style="632" customWidth="1"/>
    <col min="4" max="4" width="2.140625" style="632" customWidth="1"/>
    <col min="5" max="5" width="17.28515625" style="632" customWidth="1"/>
    <col min="6" max="6" width="16.28515625" style="632" customWidth="1"/>
    <col min="7" max="7" width="14.5703125" style="632" customWidth="1"/>
    <col min="8" max="8" width="17.5703125" style="632" customWidth="1"/>
    <col min="9" max="9" width="14.42578125" style="632" customWidth="1"/>
    <col min="10" max="10" width="15.7109375" style="632" customWidth="1"/>
    <col min="11" max="16384" width="9.140625" style="632"/>
  </cols>
  <sheetData>
    <row r="1" spans="1:10" ht="15.75">
      <c r="A1" s="739" t="s">
        <v>406</v>
      </c>
    </row>
    <row r="2" spans="1:10" ht="15.75">
      <c r="A2" s="739" t="s">
        <v>406</v>
      </c>
    </row>
    <row r="3" spans="1:10" ht="39.6" customHeight="1">
      <c r="A3" s="1222" t="s">
        <v>505</v>
      </c>
      <c r="B3" s="1222"/>
      <c r="C3" s="1222"/>
      <c r="D3" s="1222"/>
      <c r="E3" s="1222"/>
      <c r="F3" s="1222"/>
      <c r="G3" s="1222"/>
      <c r="H3" s="1222"/>
      <c r="I3" s="1222"/>
      <c r="J3" s="1222"/>
    </row>
    <row r="4" spans="1:10">
      <c r="A4" s="1222" t="str">
        <f>"Consolidation of Operating Companies' Capital Structure @ December 31, "&amp;TCOS!L4&amp;""</f>
        <v>Consolidation of Operating Companies' Capital Structure @ December 31, 2026</v>
      </c>
      <c r="B4" s="1222"/>
      <c r="C4" s="1222"/>
      <c r="D4" s="1222"/>
      <c r="E4" s="1222"/>
      <c r="F4" s="1222"/>
      <c r="G4" s="1222"/>
      <c r="H4" s="1222"/>
      <c r="I4" s="1222"/>
      <c r="J4" s="1222"/>
    </row>
    <row r="5" spans="1:10">
      <c r="A5" s="1222" t="s">
        <v>248</v>
      </c>
      <c r="B5" s="1222"/>
      <c r="C5" s="1222"/>
      <c r="D5" s="1222"/>
      <c r="E5" s="1222"/>
      <c r="F5" s="1222"/>
      <c r="G5" s="1222"/>
      <c r="H5" s="1222"/>
      <c r="I5" s="1222"/>
      <c r="J5" s="1222"/>
    </row>
    <row r="6" spans="1:10" ht="17.45" customHeight="1"/>
    <row r="7" spans="1:10" ht="76.5">
      <c r="A7" s="632" t="s">
        <v>459</v>
      </c>
      <c r="C7" s="633" t="s">
        <v>506</v>
      </c>
      <c r="D7" s="633"/>
      <c r="E7" s="633" t="s">
        <v>507</v>
      </c>
      <c r="F7" s="633" t="s">
        <v>508</v>
      </c>
      <c r="G7" s="633" t="s">
        <v>509</v>
      </c>
      <c r="H7" s="633" t="s">
        <v>510</v>
      </c>
      <c r="I7" s="633" t="s">
        <v>511</v>
      </c>
      <c r="J7" s="633" t="s">
        <v>512</v>
      </c>
    </row>
    <row r="8" spans="1:10" ht="15">
      <c r="A8" s="603" t="s">
        <v>513</v>
      </c>
    </row>
    <row r="9" spans="1:10">
      <c r="A9" s="632">
        <v>1</v>
      </c>
      <c r="B9" s="75" t="s">
        <v>338</v>
      </c>
      <c r="C9" s="604"/>
      <c r="D9" s="604"/>
      <c r="E9" s="604"/>
      <c r="F9" s="604"/>
      <c r="G9" s="604"/>
      <c r="H9" s="604"/>
      <c r="I9" s="604"/>
      <c r="J9" s="591">
        <f>SUM(C9:I9)</f>
        <v>0</v>
      </c>
    </row>
    <row r="10" spans="1:10">
      <c r="A10" s="632">
        <f>A9+1</f>
        <v>2</v>
      </c>
      <c r="B10" s="75" t="s">
        <v>339</v>
      </c>
      <c r="C10" s="604"/>
      <c r="D10" s="604"/>
      <c r="E10" s="604"/>
      <c r="F10" s="604"/>
      <c r="G10" s="604"/>
      <c r="H10" s="604"/>
      <c r="I10" s="604"/>
      <c r="J10" s="591">
        <f>SUM(C10:I10)</f>
        <v>0</v>
      </c>
    </row>
    <row r="11" spans="1:10">
      <c r="A11" s="632">
        <f>A10+1</f>
        <v>3</v>
      </c>
      <c r="B11" s="14" t="s">
        <v>23</v>
      </c>
      <c r="C11" s="604"/>
      <c r="D11" s="604"/>
      <c r="E11" s="604"/>
      <c r="F11" s="604"/>
      <c r="G11" s="604"/>
      <c r="H11" s="604"/>
      <c r="I11" s="604"/>
      <c r="J11" s="591">
        <f>SUM(C11:I11)</f>
        <v>0</v>
      </c>
    </row>
    <row r="12" spans="1:10">
      <c r="A12" s="632">
        <f>A11+1</f>
        <v>4</v>
      </c>
      <c r="B12" s="14" t="s">
        <v>17</v>
      </c>
      <c r="C12" s="604"/>
      <c r="D12" s="604"/>
      <c r="E12" s="604"/>
      <c r="F12" s="604"/>
      <c r="G12" s="604"/>
      <c r="H12" s="604"/>
      <c r="I12" s="604"/>
      <c r="J12" s="591">
        <f>SUM(C12:I12)</f>
        <v>0</v>
      </c>
    </row>
    <row r="13" spans="1:10">
      <c r="A13" s="632">
        <f>A12+1</f>
        <v>5</v>
      </c>
      <c r="B13" s="14" t="str">
        <f>"Less: Fair Value Hedges (See Note on Ln "&amp;A16&amp;" below)"</f>
        <v>Less: Fair Value Hedges (See Note on Ln 7 below)</v>
      </c>
      <c r="C13" s="119"/>
      <c r="D13" s="119"/>
      <c r="E13" s="119"/>
      <c r="F13" s="119"/>
      <c r="G13" s="119"/>
      <c r="H13" s="119"/>
      <c r="I13" s="119"/>
      <c r="J13" s="634">
        <f>SUM(C13:I13)</f>
        <v>0</v>
      </c>
    </row>
    <row r="14" spans="1:10">
      <c r="A14" s="632">
        <f>A13+1</f>
        <v>6</v>
      </c>
      <c r="B14" s="13" t="s">
        <v>59</v>
      </c>
      <c r="C14" s="635">
        <f t="shared" ref="C14:J14" si="0">C9-C10+C11+C12-C13</f>
        <v>0</v>
      </c>
      <c r="D14" s="635"/>
      <c r="E14" s="635">
        <f t="shared" si="0"/>
        <v>0</v>
      </c>
      <c r="F14" s="635">
        <f t="shared" si="0"/>
        <v>0</v>
      </c>
      <c r="G14" s="635">
        <f t="shared" si="0"/>
        <v>0</v>
      </c>
      <c r="H14" s="635">
        <f t="shared" si="0"/>
        <v>0</v>
      </c>
      <c r="I14" s="635">
        <f t="shared" si="0"/>
        <v>0</v>
      </c>
      <c r="J14" s="635">
        <f t="shared" si="0"/>
        <v>0</v>
      </c>
    </row>
    <row r="16" spans="1:10" ht="12.75" customHeight="1">
      <c r="A16" s="632">
        <f>A14+1</f>
        <v>7</v>
      </c>
      <c r="B16" s="1221" t="s">
        <v>545</v>
      </c>
      <c r="C16" s="1221"/>
      <c r="D16" s="1221"/>
      <c r="E16" s="1221"/>
      <c r="F16" s="1221"/>
      <c r="G16" s="1221"/>
      <c r="H16" s="1221"/>
      <c r="I16" s="1221"/>
      <c r="J16" s="1221"/>
    </row>
    <row r="17" spans="1:10" ht="12.75" customHeight="1">
      <c r="B17" s="636"/>
      <c r="C17" s="636"/>
      <c r="D17" s="636"/>
      <c r="E17" s="636"/>
      <c r="F17" s="636"/>
      <c r="G17" s="636"/>
      <c r="H17" s="636"/>
      <c r="I17" s="636"/>
      <c r="J17" s="636"/>
    </row>
    <row r="18" spans="1:10" ht="15">
      <c r="A18" s="603" t="s">
        <v>514</v>
      </c>
    </row>
    <row r="19" spans="1:10">
      <c r="A19" s="632">
        <f>A16+1</f>
        <v>8</v>
      </c>
      <c r="B19" s="75" t="s">
        <v>340</v>
      </c>
      <c r="C19" s="118"/>
      <c r="D19" s="118"/>
      <c r="E19" s="118"/>
      <c r="F19" s="118"/>
      <c r="G19" s="118"/>
      <c r="H19" s="118"/>
      <c r="I19" s="118"/>
      <c r="J19" s="343">
        <f t="shared" ref="J19:J24" si="1">SUM(C19:I19)</f>
        <v>0</v>
      </c>
    </row>
    <row r="20" spans="1:10">
      <c r="A20" s="632">
        <f t="shared" ref="A20:A25" si="2">A19+1</f>
        <v>9</v>
      </c>
      <c r="B20" s="75" t="s">
        <v>333</v>
      </c>
      <c r="C20" s="118"/>
      <c r="D20" s="118"/>
      <c r="E20" s="118"/>
      <c r="F20" s="118"/>
      <c r="G20" s="118"/>
      <c r="H20" s="118"/>
      <c r="I20" s="118"/>
      <c r="J20" s="343">
        <f t="shared" si="1"/>
        <v>0</v>
      </c>
    </row>
    <row r="21" spans="1:10">
      <c r="A21" s="632">
        <f t="shared" si="2"/>
        <v>10</v>
      </c>
      <c r="B21" s="75" t="s">
        <v>334</v>
      </c>
      <c r="C21" s="118"/>
      <c r="D21" s="118"/>
      <c r="E21" s="118"/>
      <c r="F21" s="118"/>
      <c r="G21" s="118"/>
      <c r="H21" s="118"/>
      <c r="I21" s="118"/>
      <c r="J21" s="343">
        <f t="shared" si="1"/>
        <v>0</v>
      </c>
    </row>
    <row r="22" spans="1:10">
      <c r="A22" s="632">
        <f t="shared" si="2"/>
        <v>11</v>
      </c>
      <c r="B22" s="75" t="s">
        <v>335</v>
      </c>
      <c r="C22" s="604"/>
      <c r="D22" s="604"/>
      <c r="E22" s="604"/>
      <c r="F22" s="604"/>
      <c r="G22" s="604"/>
      <c r="H22" s="604"/>
      <c r="I22" s="604"/>
      <c r="J22" s="591">
        <f t="shared" si="1"/>
        <v>0</v>
      </c>
    </row>
    <row r="23" spans="1:10">
      <c r="A23" s="632">
        <f t="shared" si="2"/>
        <v>12</v>
      </c>
      <c r="B23" s="75" t="s">
        <v>336</v>
      </c>
      <c r="C23" s="604"/>
      <c r="D23" s="604"/>
      <c r="E23" s="604"/>
      <c r="F23" s="604"/>
      <c r="G23" s="604"/>
      <c r="H23" s="604"/>
      <c r="I23" s="604"/>
      <c r="J23" s="591">
        <f t="shared" si="1"/>
        <v>0</v>
      </c>
    </row>
    <row r="24" spans="1:10">
      <c r="A24" s="632">
        <f t="shared" si="2"/>
        <v>13</v>
      </c>
      <c r="B24" s="637" t="s">
        <v>515</v>
      </c>
      <c r="C24" s="119"/>
      <c r="D24" s="119"/>
      <c r="E24" s="119"/>
      <c r="F24" s="119"/>
      <c r="G24" s="119"/>
      <c r="H24" s="119"/>
      <c r="I24" s="119"/>
      <c r="J24" s="634">
        <f t="shared" si="1"/>
        <v>0</v>
      </c>
    </row>
    <row r="25" spans="1:10">
      <c r="A25" s="632">
        <f t="shared" si="2"/>
        <v>14</v>
      </c>
      <c r="B25" s="638" t="s">
        <v>60</v>
      </c>
      <c r="C25" s="639">
        <f t="shared" ref="C25:J25" si="3">C19+C20+C21-C22-C23-C24</f>
        <v>0</v>
      </c>
      <c r="D25" s="639"/>
      <c r="E25" s="639">
        <f t="shared" si="3"/>
        <v>0</v>
      </c>
      <c r="F25" s="639">
        <f t="shared" si="3"/>
        <v>0</v>
      </c>
      <c r="G25" s="639">
        <f t="shared" si="3"/>
        <v>0</v>
      </c>
      <c r="H25" s="639">
        <f t="shared" si="3"/>
        <v>0</v>
      </c>
      <c r="I25" s="639">
        <f t="shared" si="3"/>
        <v>0</v>
      </c>
      <c r="J25" s="639">
        <f t="shared" si="3"/>
        <v>0</v>
      </c>
    </row>
    <row r="27" spans="1:10" ht="15">
      <c r="A27" s="603" t="s">
        <v>516</v>
      </c>
      <c r="B27" s="640"/>
      <c r="C27" s="640"/>
      <c r="D27" s="640"/>
      <c r="E27" s="640"/>
    </row>
    <row r="28" spans="1:10">
      <c r="A28" s="632">
        <f>A25+1</f>
        <v>15</v>
      </c>
      <c r="B28" s="76" t="s">
        <v>517</v>
      </c>
      <c r="C28" s="605"/>
      <c r="D28" s="656"/>
      <c r="E28" s="657"/>
      <c r="F28" s="656"/>
      <c r="G28" s="656"/>
      <c r="H28" s="605"/>
      <c r="I28" s="656"/>
      <c r="J28" s="641"/>
    </row>
    <row r="29" spans="1:10">
      <c r="A29" s="632">
        <f>A28+1</f>
        <v>16</v>
      </c>
      <c r="B29" s="76" t="s">
        <v>518</v>
      </c>
      <c r="C29" s="606"/>
      <c r="D29" s="658"/>
      <c r="E29" s="606"/>
      <c r="F29" s="658"/>
      <c r="G29" s="658"/>
      <c r="H29" s="606"/>
      <c r="I29" s="658"/>
      <c r="J29" s="642"/>
    </row>
    <row r="30" spans="1:10">
      <c r="A30" s="632">
        <f>A29+1</f>
        <v>17</v>
      </c>
      <c r="B30" s="76" t="s">
        <v>519</v>
      </c>
      <c r="C30" s="118"/>
      <c r="D30" s="659"/>
      <c r="E30" s="118"/>
      <c r="F30" s="659"/>
      <c r="G30" s="659"/>
      <c r="H30" s="118"/>
      <c r="I30" s="659"/>
    </row>
    <row r="31" spans="1:10">
      <c r="A31" s="632">
        <f>A30+1</f>
        <v>18</v>
      </c>
      <c r="B31" s="76" t="str">
        <f>"Monetary Value (Ln "&amp;A29&amp;" * Ln "&amp;A30&amp;")"</f>
        <v>Monetary Value (Ln 16 * Ln 17)</v>
      </c>
      <c r="C31" s="342">
        <f t="shared" ref="C31:I31" si="4">C29*C30</f>
        <v>0</v>
      </c>
      <c r="D31" s="342"/>
      <c r="E31" s="342">
        <f t="shared" si="4"/>
        <v>0</v>
      </c>
      <c r="F31" s="342">
        <f t="shared" si="4"/>
        <v>0</v>
      </c>
      <c r="G31" s="342">
        <f t="shared" si="4"/>
        <v>0</v>
      </c>
      <c r="H31" s="342">
        <f t="shared" si="4"/>
        <v>0</v>
      </c>
      <c r="I31" s="342">
        <f t="shared" si="4"/>
        <v>0</v>
      </c>
      <c r="J31" s="639">
        <f>SUM(C31:I31)</f>
        <v>0</v>
      </c>
    </row>
    <row r="32" spans="1:10">
      <c r="A32" s="632">
        <f>A31+1</f>
        <v>19</v>
      </c>
      <c r="B32" s="76" t="str">
        <f>"Dividend Amount (Ln "&amp;A28&amp;" * Ln "&amp;A31&amp;")"</f>
        <v>Dividend Amount (Ln 15 * Ln 18)</v>
      </c>
      <c r="C32" s="342">
        <f t="shared" ref="C32:I32" si="5">C31*C28</f>
        <v>0</v>
      </c>
      <c r="D32" s="342"/>
      <c r="E32" s="342">
        <f t="shared" si="5"/>
        <v>0</v>
      </c>
      <c r="F32" s="342">
        <f t="shared" si="5"/>
        <v>0</v>
      </c>
      <c r="G32" s="342">
        <f t="shared" si="5"/>
        <v>0</v>
      </c>
      <c r="H32" s="342">
        <f t="shared" si="5"/>
        <v>0</v>
      </c>
      <c r="I32" s="342">
        <f t="shared" si="5"/>
        <v>0</v>
      </c>
      <c r="J32" s="639">
        <f>SUM(C32:I32)</f>
        <v>0</v>
      </c>
    </row>
    <row r="34" spans="1:10">
      <c r="A34" s="632">
        <f>A32+1</f>
        <v>20</v>
      </c>
      <c r="B34" s="76" t="s">
        <v>517</v>
      </c>
      <c r="C34" s="605"/>
      <c r="D34" s="656"/>
      <c r="E34" s="657"/>
      <c r="F34" s="656"/>
      <c r="G34" s="656"/>
      <c r="H34" s="605"/>
      <c r="I34" s="656"/>
    </row>
    <row r="35" spans="1:10">
      <c r="A35" s="632">
        <f>A34+1</f>
        <v>21</v>
      </c>
      <c r="B35" s="76" t="s">
        <v>518</v>
      </c>
      <c r="C35" s="606"/>
      <c r="D35" s="658"/>
      <c r="E35" s="606"/>
      <c r="F35" s="658"/>
      <c r="G35" s="658"/>
      <c r="H35" s="606"/>
      <c r="I35" s="658"/>
    </row>
    <row r="36" spans="1:10">
      <c r="A36" s="632">
        <f>A35+1</f>
        <v>22</v>
      </c>
      <c r="B36" s="76" t="s">
        <v>519</v>
      </c>
      <c r="C36" s="118"/>
      <c r="D36" s="659"/>
      <c r="E36" s="118"/>
      <c r="F36" s="659"/>
      <c r="G36" s="659"/>
      <c r="H36" s="118"/>
      <c r="I36" s="659"/>
    </row>
    <row r="37" spans="1:10">
      <c r="A37" s="632">
        <f>A36+1</f>
        <v>23</v>
      </c>
      <c r="B37" s="76" t="str">
        <f>"Monetary Value (Ln "&amp;A35&amp;" * Ln "&amp;A36&amp;")"</f>
        <v>Monetary Value (Ln 21 * Ln 22)</v>
      </c>
      <c r="C37" s="342">
        <f t="shared" ref="C37:I37" si="6">C35*C36</f>
        <v>0</v>
      </c>
      <c r="D37" s="342"/>
      <c r="E37" s="342">
        <f t="shared" si="6"/>
        <v>0</v>
      </c>
      <c r="F37" s="342">
        <f t="shared" si="6"/>
        <v>0</v>
      </c>
      <c r="G37" s="342">
        <f t="shared" si="6"/>
        <v>0</v>
      </c>
      <c r="H37" s="342">
        <f t="shared" si="6"/>
        <v>0</v>
      </c>
      <c r="I37" s="342">
        <f t="shared" si="6"/>
        <v>0</v>
      </c>
      <c r="J37" s="639">
        <f>SUM(C37:I37)</f>
        <v>0</v>
      </c>
    </row>
    <row r="38" spans="1:10">
      <c r="A38" s="632">
        <f>A37+1</f>
        <v>24</v>
      </c>
      <c r="B38" s="76" t="str">
        <f>"Dividend Amount (Ln "&amp;A34&amp;" * Ln "&amp;A37&amp;")"</f>
        <v>Dividend Amount (Ln 20 * Ln 23)</v>
      </c>
      <c r="C38" s="342">
        <f t="shared" ref="C38:I38" si="7">C37*C34</f>
        <v>0</v>
      </c>
      <c r="D38" s="342"/>
      <c r="E38" s="342">
        <f t="shared" si="7"/>
        <v>0</v>
      </c>
      <c r="F38" s="342">
        <f t="shared" si="7"/>
        <v>0</v>
      </c>
      <c r="G38" s="342">
        <f t="shared" si="7"/>
        <v>0</v>
      </c>
      <c r="H38" s="342">
        <f t="shared" si="7"/>
        <v>0</v>
      </c>
      <c r="I38" s="342">
        <f t="shared" si="7"/>
        <v>0</v>
      </c>
      <c r="J38" s="639">
        <f>SUM(C38:I38)</f>
        <v>0</v>
      </c>
    </row>
    <row r="40" spans="1:10">
      <c r="A40" s="632">
        <f>A38+1</f>
        <v>25</v>
      </c>
      <c r="B40" s="76" t="s">
        <v>517</v>
      </c>
      <c r="C40" s="605"/>
      <c r="D40" s="656"/>
      <c r="E40" s="657"/>
      <c r="F40" s="656"/>
      <c r="G40" s="656"/>
      <c r="H40" s="605"/>
      <c r="I40" s="656"/>
    </row>
    <row r="41" spans="1:10">
      <c r="A41" s="632">
        <f>A40+1</f>
        <v>26</v>
      </c>
      <c r="B41" s="76" t="s">
        <v>518</v>
      </c>
      <c r="C41" s="606"/>
      <c r="D41" s="658"/>
      <c r="E41" s="606"/>
      <c r="F41" s="658"/>
      <c r="G41" s="658"/>
      <c r="H41" s="606"/>
      <c r="I41" s="658"/>
    </row>
    <row r="42" spans="1:10">
      <c r="A42" s="632">
        <f>A41+1</f>
        <v>27</v>
      </c>
      <c r="B42" s="76" t="s">
        <v>519</v>
      </c>
      <c r="C42" s="118"/>
      <c r="D42" s="659"/>
      <c r="E42" s="118"/>
      <c r="F42" s="659"/>
      <c r="G42" s="659"/>
      <c r="H42" s="118"/>
      <c r="I42" s="659"/>
    </row>
    <row r="43" spans="1:10">
      <c r="A43" s="632">
        <f>A42+1</f>
        <v>28</v>
      </c>
      <c r="B43" s="76" t="str">
        <f>"Monetary Value (Ln "&amp;A41&amp;" * Ln "&amp;A42&amp;")"</f>
        <v>Monetary Value (Ln 26 * Ln 27)</v>
      </c>
      <c r="C43" s="342">
        <f t="shared" ref="C43:I43" si="8">C41*C42</f>
        <v>0</v>
      </c>
      <c r="D43" s="342"/>
      <c r="E43" s="342">
        <f t="shared" si="8"/>
        <v>0</v>
      </c>
      <c r="F43" s="342">
        <f t="shared" si="8"/>
        <v>0</v>
      </c>
      <c r="G43" s="342">
        <f t="shared" si="8"/>
        <v>0</v>
      </c>
      <c r="H43" s="342">
        <f t="shared" si="8"/>
        <v>0</v>
      </c>
      <c r="I43" s="342">
        <f t="shared" si="8"/>
        <v>0</v>
      </c>
      <c r="J43" s="639">
        <f>SUM(C43:I43)</f>
        <v>0</v>
      </c>
    </row>
    <row r="44" spans="1:10">
      <c r="A44" s="632">
        <f>A43+1</f>
        <v>29</v>
      </c>
      <c r="B44" s="76" t="str">
        <f>"Dividend Amount (Ln "&amp;A40&amp;" * Ln "&amp;A43&amp;")"</f>
        <v>Dividend Amount (Ln 25 * Ln 28)</v>
      </c>
      <c r="C44" s="342">
        <f t="shared" ref="C44:I44" si="9">C43*C40</f>
        <v>0</v>
      </c>
      <c r="D44" s="342"/>
      <c r="E44" s="342">
        <f t="shared" si="9"/>
        <v>0</v>
      </c>
      <c r="F44" s="342">
        <f t="shared" si="9"/>
        <v>0</v>
      </c>
      <c r="G44" s="342">
        <f t="shared" si="9"/>
        <v>0</v>
      </c>
      <c r="H44" s="342">
        <f t="shared" si="9"/>
        <v>0</v>
      </c>
      <c r="I44" s="342">
        <f t="shared" si="9"/>
        <v>0</v>
      </c>
      <c r="J44" s="639">
        <f>SUM(C44:I44)</f>
        <v>0</v>
      </c>
    </row>
    <row r="46" spans="1:10">
      <c r="A46" s="632">
        <f>A44+1</f>
        <v>30</v>
      </c>
      <c r="B46" s="76" t="s">
        <v>517</v>
      </c>
      <c r="C46" s="605"/>
      <c r="D46" s="656"/>
      <c r="E46" s="657"/>
      <c r="F46" s="656"/>
      <c r="G46" s="656"/>
      <c r="H46" s="605"/>
      <c r="I46" s="656"/>
    </row>
    <row r="47" spans="1:10">
      <c r="A47" s="632">
        <f>A46+1</f>
        <v>31</v>
      </c>
      <c r="B47" s="76" t="s">
        <v>518</v>
      </c>
      <c r="C47" s="606"/>
      <c r="D47" s="658"/>
      <c r="E47" s="606"/>
      <c r="F47" s="658"/>
      <c r="G47" s="658"/>
      <c r="H47" s="606"/>
      <c r="I47" s="658"/>
    </row>
    <row r="48" spans="1:10">
      <c r="A48" s="632">
        <f>A47+1</f>
        <v>32</v>
      </c>
      <c r="B48" s="76" t="s">
        <v>519</v>
      </c>
      <c r="C48" s="118"/>
      <c r="D48" s="659"/>
      <c r="E48" s="118"/>
      <c r="F48" s="659"/>
      <c r="G48" s="659"/>
      <c r="H48" s="118"/>
      <c r="I48" s="659"/>
    </row>
    <row r="49" spans="1:10">
      <c r="A49" s="632">
        <f>A48+1</f>
        <v>33</v>
      </c>
      <c r="B49" s="76" t="str">
        <f>"Monetary Value (Ln "&amp;A47&amp;" * Ln "&amp;A48&amp;")"</f>
        <v>Monetary Value (Ln 31 * Ln 32)</v>
      </c>
      <c r="C49" s="342">
        <f t="shared" ref="C49:I49" si="10">C47*C48</f>
        <v>0</v>
      </c>
      <c r="D49" s="342"/>
      <c r="E49" s="342">
        <f t="shared" si="10"/>
        <v>0</v>
      </c>
      <c r="F49" s="342">
        <f t="shared" si="10"/>
        <v>0</v>
      </c>
      <c r="G49" s="342">
        <f t="shared" si="10"/>
        <v>0</v>
      </c>
      <c r="H49" s="342">
        <f t="shared" si="10"/>
        <v>0</v>
      </c>
      <c r="I49" s="342">
        <f t="shared" si="10"/>
        <v>0</v>
      </c>
      <c r="J49" s="639">
        <f>SUM(C49:I49)</f>
        <v>0</v>
      </c>
    </row>
    <row r="50" spans="1:10">
      <c r="A50" s="632">
        <f>A49+1</f>
        <v>34</v>
      </c>
      <c r="B50" s="76" t="str">
        <f>"Dividend Amount (Ln "&amp;A46&amp;" * Ln "&amp;A49&amp;")"</f>
        <v>Dividend Amount (Ln 30 * Ln 33)</v>
      </c>
      <c r="C50" s="342">
        <f t="shared" ref="C50:I50" si="11">C49*C46</f>
        <v>0</v>
      </c>
      <c r="D50" s="342"/>
      <c r="E50" s="342">
        <f t="shared" si="11"/>
        <v>0</v>
      </c>
      <c r="F50" s="342">
        <f t="shared" si="11"/>
        <v>0</v>
      </c>
      <c r="G50" s="342">
        <f t="shared" si="11"/>
        <v>0</v>
      </c>
      <c r="H50" s="342">
        <f t="shared" si="11"/>
        <v>0</v>
      </c>
      <c r="I50" s="342">
        <f t="shared" si="11"/>
        <v>0</v>
      </c>
      <c r="J50" s="639">
        <f>SUM(C50:I50)</f>
        <v>0</v>
      </c>
    </row>
    <row r="51" spans="1:10">
      <c r="B51" s="76"/>
    </row>
    <row r="52" spans="1:10">
      <c r="A52" s="632">
        <f>A50+1</f>
        <v>35</v>
      </c>
      <c r="B52" s="345" t="str">
        <f>"Preferred Stock (Lns "&amp;A31&amp;", "&amp;A37&amp;", "&amp;A43&amp;","&amp;A49&amp;")"</f>
        <v>Preferred Stock (Lns 18, 23, 28,33)</v>
      </c>
      <c r="C52" s="639">
        <f t="shared" ref="C52:I53" si="12">C31+C37+C43+C49</f>
        <v>0</v>
      </c>
      <c r="D52" s="639"/>
      <c r="E52" s="639">
        <f t="shared" si="12"/>
        <v>0</v>
      </c>
      <c r="F52" s="639">
        <f t="shared" si="12"/>
        <v>0</v>
      </c>
      <c r="G52" s="639">
        <f t="shared" si="12"/>
        <v>0</v>
      </c>
      <c r="H52" s="639">
        <f t="shared" si="12"/>
        <v>0</v>
      </c>
      <c r="I52" s="639">
        <f t="shared" si="12"/>
        <v>0</v>
      </c>
      <c r="J52" s="639">
        <f>SUM(C52:I52)</f>
        <v>0</v>
      </c>
    </row>
    <row r="53" spans="1:10">
      <c r="A53" s="632">
        <f>A52+1</f>
        <v>36</v>
      </c>
      <c r="B53" s="345" t="str">
        <f>"Preferred Dividends (Lns "&amp;A32&amp;", "&amp;A38&amp;", "&amp;A44&amp;","&amp;A50&amp;")"</f>
        <v>Preferred Dividends (Lns 19, 24, 29,34)</v>
      </c>
      <c r="C53" s="639">
        <f t="shared" si="12"/>
        <v>0</v>
      </c>
      <c r="D53" s="639"/>
      <c r="E53" s="639">
        <f t="shared" si="12"/>
        <v>0</v>
      </c>
      <c r="F53" s="639">
        <f t="shared" si="12"/>
        <v>0</v>
      </c>
      <c r="G53" s="639">
        <f t="shared" si="12"/>
        <v>0</v>
      </c>
      <c r="H53" s="639">
        <f t="shared" si="12"/>
        <v>0</v>
      </c>
      <c r="I53" s="639">
        <f t="shared" si="12"/>
        <v>0</v>
      </c>
      <c r="J53" s="639">
        <f>SUM(C53:I53)</f>
        <v>0</v>
      </c>
    </row>
    <row r="54" spans="1:10">
      <c r="B54" s="643"/>
    </row>
    <row r="55" spans="1:10" ht="15">
      <c r="A55" s="603" t="s">
        <v>520</v>
      </c>
    </row>
    <row r="56" spans="1:10">
      <c r="A56" s="632">
        <f>A53+1</f>
        <v>37</v>
      </c>
      <c r="B56" s="453" t="s">
        <v>521</v>
      </c>
      <c r="C56" s="118"/>
      <c r="D56" s="118"/>
      <c r="E56" s="118"/>
      <c r="F56" s="118"/>
      <c r="G56" s="118"/>
      <c r="H56" s="118"/>
      <c r="I56" s="118"/>
      <c r="J56" s="639">
        <f>SUM(C56:I56)</f>
        <v>0</v>
      </c>
    </row>
    <row r="57" spans="1:10">
      <c r="A57" s="632">
        <f>A56+1</f>
        <v>38</v>
      </c>
      <c r="B57" s="453" t="str">
        <f>"Less: Preferred Stock (Ln "&amp;A52&amp;" Above)"</f>
        <v>Less: Preferred Stock (Ln 35 Above)</v>
      </c>
      <c r="C57" s="343">
        <f t="shared" ref="C57:I57" si="13">C52</f>
        <v>0</v>
      </c>
      <c r="D57" s="343"/>
      <c r="E57" s="343">
        <f t="shared" si="13"/>
        <v>0</v>
      </c>
      <c r="F57" s="343">
        <f t="shared" si="13"/>
        <v>0</v>
      </c>
      <c r="G57" s="343">
        <f t="shared" si="13"/>
        <v>0</v>
      </c>
      <c r="H57" s="343">
        <f t="shared" si="13"/>
        <v>0</v>
      </c>
      <c r="I57" s="343">
        <f t="shared" si="13"/>
        <v>0</v>
      </c>
      <c r="J57" s="639">
        <f>SUM(C57:I57)</f>
        <v>0</v>
      </c>
    </row>
    <row r="58" spans="1:10">
      <c r="A58" s="632">
        <f>A57+1</f>
        <v>39</v>
      </c>
      <c r="B58" s="453" t="s">
        <v>522</v>
      </c>
      <c r="C58" s="604"/>
      <c r="D58" s="604"/>
      <c r="E58" s="604"/>
      <c r="F58" s="604"/>
      <c r="G58" s="604"/>
      <c r="H58" s="604"/>
      <c r="I58" s="604"/>
      <c r="J58" s="639">
        <f>SUM(C58:I58)</f>
        <v>0</v>
      </c>
    </row>
    <row r="59" spans="1:10">
      <c r="A59" s="632">
        <f>A58+1</f>
        <v>40</v>
      </c>
      <c r="B59" s="453" t="s">
        <v>523</v>
      </c>
      <c r="C59" s="119"/>
      <c r="D59" s="119"/>
      <c r="E59" s="119"/>
      <c r="F59" s="119"/>
      <c r="G59" s="119"/>
      <c r="H59" s="119"/>
      <c r="I59" s="119"/>
      <c r="J59" s="644">
        <f>SUM(C59:I59)</f>
        <v>0</v>
      </c>
    </row>
    <row r="60" spans="1:10">
      <c r="A60" s="632">
        <f>A59+1</f>
        <v>41</v>
      </c>
      <c r="B60" s="457" t="s">
        <v>524</v>
      </c>
      <c r="C60" s="591">
        <f t="shared" ref="C60:J60" si="14">C56-C57-C58-C59</f>
        <v>0</v>
      </c>
      <c r="D60" s="591"/>
      <c r="E60" s="591">
        <f t="shared" si="14"/>
        <v>0</v>
      </c>
      <c r="F60" s="591">
        <f t="shared" si="14"/>
        <v>0</v>
      </c>
      <c r="G60" s="591">
        <f t="shared" si="14"/>
        <v>0</v>
      </c>
      <c r="H60" s="591">
        <f t="shared" si="14"/>
        <v>0</v>
      </c>
      <c r="I60" s="591">
        <f t="shared" si="14"/>
        <v>0</v>
      </c>
      <c r="J60" s="591">
        <f t="shared" si="14"/>
        <v>0</v>
      </c>
    </row>
    <row r="62" spans="1:10" ht="15">
      <c r="A62" s="603" t="s">
        <v>525</v>
      </c>
    </row>
    <row r="63" spans="1:10">
      <c r="A63" s="632">
        <f>A60+1</f>
        <v>42</v>
      </c>
      <c r="B63" s="7" t="str">
        <f>"Long Term Debt (Ln "&amp;A14&amp;" Above)"</f>
        <v>Long Term Debt (Ln 6 Above)</v>
      </c>
      <c r="C63" s="639">
        <f t="shared" ref="C63:J63" si="15">C14</f>
        <v>0</v>
      </c>
      <c r="D63" s="639"/>
      <c r="E63" s="639">
        <f t="shared" si="15"/>
        <v>0</v>
      </c>
      <c r="F63" s="639">
        <f t="shared" si="15"/>
        <v>0</v>
      </c>
      <c r="G63" s="639">
        <f t="shared" si="15"/>
        <v>0</v>
      </c>
      <c r="H63" s="639">
        <f t="shared" si="15"/>
        <v>0</v>
      </c>
      <c r="I63" s="639">
        <f t="shared" si="15"/>
        <v>0</v>
      </c>
      <c r="J63" s="639">
        <f t="shared" si="15"/>
        <v>0</v>
      </c>
    </row>
    <row r="64" spans="1:10">
      <c r="A64" s="632">
        <f>A63+1</f>
        <v>43</v>
      </c>
      <c r="B64" s="7" t="str">
        <f>"Preferred Stock (Ln "&amp;A52&amp;" Above)"</f>
        <v>Preferred Stock (Ln 35 Above)</v>
      </c>
      <c r="C64" s="639">
        <f t="shared" ref="C64:J64" si="16">C52</f>
        <v>0</v>
      </c>
      <c r="D64" s="639"/>
      <c r="E64" s="639">
        <f t="shared" si="16"/>
        <v>0</v>
      </c>
      <c r="F64" s="639">
        <f t="shared" si="16"/>
        <v>0</v>
      </c>
      <c r="G64" s="639">
        <f t="shared" si="16"/>
        <v>0</v>
      </c>
      <c r="H64" s="639">
        <f t="shared" si="16"/>
        <v>0</v>
      </c>
      <c r="I64" s="639">
        <f t="shared" si="16"/>
        <v>0</v>
      </c>
      <c r="J64" s="639">
        <f t="shared" si="16"/>
        <v>0</v>
      </c>
    </row>
    <row r="65" spans="1:10">
      <c r="A65" s="632">
        <f>A64+1</f>
        <v>44</v>
      </c>
      <c r="B65" s="7" t="str">
        <f>"Common Equity (Ln "&amp;A60&amp;" Above)"</f>
        <v>Common Equity (Ln 41 Above)</v>
      </c>
      <c r="C65" s="644">
        <f t="shared" ref="C65:J65" si="17">C60</f>
        <v>0</v>
      </c>
      <c r="D65" s="644"/>
      <c r="E65" s="644">
        <f t="shared" si="17"/>
        <v>0</v>
      </c>
      <c r="F65" s="644">
        <f t="shared" si="17"/>
        <v>0</v>
      </c>
      <c r="G65" s="644">
        <f t="shared" si="17"/>
        <v>0</v>
      </c>
      <c r="H65" s="644">
        <f t="shared" si="17"/>
        <v>0</v>
      </c>
      <c r="I65" s="644">
        <f t="shared" si="17"/>
        <v>0</v>
      </c>
      <c r="J65" s="644">
        <f t="shared" si="17"/>
        <v>0</v>
      </c>
    </row>
    <row r="66" spans="1:10">
      <c r="A66" s="632">
        <f>A65+1</f>
        <v>45</v>
      </c>
      <c r="B66" s="632" t="s">
        <v>526</v>
      </c>
      <c r="C66" s="639">
        <f t="shared" ref="C66:J66" si="18">SUM(C63:C65)</f>
        <v>0</v>
      </c>
      <c r="D66" s="639"/>
      <c r="E66" s="639">
        <f t="shared" si="18"/>
        <v>0</v>
      </c>
      <c r="F66" s="639">
        <f t="shared" si="18"/>
        <v>0</v>
      </c>
      <c r="G66" s="639">
        <f t="shared" si="18"/>
        <v>0</v>
      </c>
      <c r="H66" s="639">
        <f t="shared" si="18"/>
        <v>0</v>
      </c>
      <c r="I66" s="639">
        <f t="shared" si="18"/>
        <v>0</v>
      </c>
      <c r="J66" s="639">
        <f t="shared" si="18"/>
        <v>0</v>
      </c>
    </row>
    <row r="68" spans="1:10">
      <c r="A68" s="632">
        <f>A66+1</f>
        <v>46</v>
      </c>
      <c r="B68" s="7" t="str">
        <f>"LTD Capital Shares (Ln "&amp;A63&amp;" / Ln "&amp;A66&amp;")"</f>
        <v>LTD Capital Shares (Ln 42 / Ln 45)</v>
      </c>
      <c r="C68" s="645" t="e">
        <f t="shared" ref="C68:J68" si="19">C63/C66</f>
        <v>#DIV/0!</v>
      </c>
      <c r="D68" s="645"/>
      <c r="E68" s="645" t="e">
        <f t="shared" si="19"/>
        <v>#DIV/0!</v>
      </c>
      <c r="F68" s="645" t="e">
        <f t="shared" si="19"/>
        <v>#DIV/0!</v>
      </c>
      <c r="G68" s="645" t="e">
        <f t="shared" si="19"/>
        <v>#DIV/0!</v>
      </c>
      <c r="H68" s="645" t="e">
        <f t="shared" si="19"/>
        <v>#DIV/0!</v>
      </c>
      <c r="I68" s="645" t="e">
        <f t="shared" si="19"/>
        <v>#DIV/0!</v>
      </c>
      <c r="J68" s="645" t="e">
        <f t="shared" si="19"/>
        <v>#DIV/0!</v>
      </c>
    </row>
    <row r="69" spans="1:10">
      <c r="A69" s="632">
        <f>A68+1</f>
        <v>47</v>
      </c>
      <c r="B69" s="7" t="str">
        <f>"Preferred Stock Capital Shares (Ln "&amp;A64&amp;" / Ln "&amp;A66&amp;")"</f>
        <v>Preferred Stock Capital Shares (Ln 43 / Ln 45)</v>
      </c>
      <c r="C69" s="645" t="e">
        <f t="shared" ref="C69:J69" si="20">C64/C66</f>
        <v>#DIV/0!</v>
      </c>
      <c r="D69" s="645"/>
      <c r="E69" s="645" t="e">
        <f t="shared" si="20"/>
        <v>#DIV/0!</v>
      </c>
      <c r="F69" s="645" t="e">
        <f t="shared" si="20"/>
        <v>#DIV/0!</v>
      </c>
      <c r="G69" s="645" t="e">
        <f t="shared" si="20"/>
        <v>#DIV/0!</v>
      </c>
      <c r="H69" s="645" t="e">
        <f t="shared" si="20"/>
        <v>#DIV/0!</v>
      </c>
      <c r="I69" s="645" t="e">
        <f t="shared" si="20"/>
        <v>#DIV/0!</v>
      </c>
      <c r="J69" s="645" t="e">
        <f t="shared" si="20"/>
        <v>#DIV/0!</v>
      </c>
    </row>
    <row r="70" spans="1:10">
      <c r="A70" s="632">
        <f>A69+1</f>
        <v>48</v>
      </c>
      <c r="B70" s="7" t="str">
        <f>"Common Equity Capital Shares (Ln "&amp;A65&amp;" / Ln "&amp;A66&amp;")"</f>
        <v>Common Equity Capital Shares (Ln 44 / Ln 45)</v>
      </c>
      <c r="C70" s="646" t="e">
        <f t="shared" ref="C70:J70" si="21">C65/C66</f>
        <v>#DIV/0!</v>
      </c>
      <c r="D70" s="646"/>
      <c r="E70" s="646" t="e">
        <f t="shared" si="21"/>
        <v>#DIV/0!</v>
      </c>
      <c r="F70" s="646" t="e">
        <f t="shared" si="21"/>
        <v>#DIV/0!</v>
      </c>
      <c r="G70" s="646" t="e">
        <f t="shared" si="21"/>
        <v>#DIV/0!</v>
      </c>
      <c r="H70" s="646" t="e">
        <f t="shared" si="21"/>
        <v>#DIV/0!</v>
      </c>
      <c r="I70" s="646" t="e">
        <f t="shared" si="21"/>
        <v>#DIV/0!</v>
      </c>
      <c r="J70" s="646" t="e">
        <f t="shared" si="21"/>
        <v>#DIV/0!</v>
      </c>
    </row>
    <row r="71" spans="1:10">
      <c r="B71" s="7"/>
      <c r="C71" s="646"/>
      <c r="D71" s="646"/>
      <c r="E71" s="646"/>
      <c r="F71" s="646"/>
      <c r="G71" s="646"/>
      <c r="H71" s="646"/>
      <c r="I71" s="646"/>
      <c r="J71" s="646"/>
    </row>
    <row r="72" spans="1:10">
      <c r="A72" s="632">
        <f>A70+1</f>
        <v>49</v>
      </c>
      <c r="B72" s="345" t="s">
        <v>556</v>
      </c>
      <c r="C72" s="647"/>
      <c r="D72" s="647"/>
      <c r="E72" s="647"/>
      <c r="F72" s="647"/>
      <c r="G72" s="647"/>
      <c r="H72" s="647"/>
      <c r="I72" s="647"/>
      <c r="J72" s="647"/>
    </row>
    <row r="73" spans="1:10">
      <c r="B73" s="7"/>
      <c r="C73" s="646"/>
      <c r="D73" s="646"/>
      <c r="E73" s="646"/>
      <c r="F73" s="646"/>
      <c r="G73" s="646"/>
      <c r="H73" s="646"/>
      <c r="I73" s="646"/>
      <c r="J73" s="646"/>
    </row>
    <row r="74" spans="1:10">
      <c r="A74" s="632">
        <f>A72+1</f>
        <v>50</v>
      </c>
      <c r="B74" s="345" t="s">
        <v>556</v>
      </c>
      <c r="C74" s="646"/>
      <c r="D74" s="646"/>
      <c r="E74" s="646"/>
      <c r="F74" s="646"/>
      <c r="G74" s="646"/>
      <c r="H74" s="646"/>
      <c r="I74" s="646"/>
      <c r="J74" s="646"/>
    </row>
    <row r="75" spans="1:10">
      <c r="A75" s="632">
        <f>A74+1</f>
        <v>51</v>
      </c>
      <c r="B75" s="345" t="s">
        <v>556</v>
      </c>
      <c r="C75" s="646"/>
      <c r="D75" s="646"/>
      <c r="E75" s="646"/>
      <c r="F75" s="646"/>
      <c r="G75" s="646"/>
      <c r="H75" s="646"/>
      <c r="I75" s="646"/>
      <c r="J75" s="646"/>
    </row>
    <row r="76" spans="1:10">
      <c r="A76" s="632">
        <f>A75+1</f>
        <v>52</v>
      </c>
      <c r="B76" s="345" t="s">
        <v>556</v>
      </c>
      <c r="C76" s="646"/>
      <c r="D76" s="646"/>
      <c r="E76" s="646"/>
      <c r="F76" s="646"/>
      <c r="G76" s="646"/>
      <c r="H76" s="646"/>
      <c r="I76" s="646"/>
      <c r="J76" s="646"/>
    </row>
    <row r="77" spans="1:10">
      <c r="B77" s="7"/>
      <c r="C77" s="645"/>
      <c r="D77" s="645"/>
      <c r="E77" s="645"/>
      <c r="F77" s="645"/>
      <c r="G77" s="645"/>
      <c r="H77" s="645"/>
      <c r="I77" s="645"/>
      <c r="J77" s="645"/>
    </row>
    <row r="78" spans="1:10" ht="15">
      <c r="A78" s="603" t="s">
        <v>527</v>
      </c>
    </row>
    <row r="79" spans="1:10">
      <c r="A79" s="632">
        <f>A76+1</f>
        <v>53</v>
      </c>
      <c r="B79" s="7" t="str">
        <f>"LTD Capital Cost Rate (Ln "&amp;A25&amp;" / Ln "&amp;A14&amp;")"</f>
        <v>LTD Capital Cost Rate (Ln 14 / Ln 6)</v>
      </c>
      <c r="C79" s="645" t="e">
        <f t="shared" ref="C79:J79" si="22">C25/C14</f>
        <v>#DIV/0!</v>
      </c>
      <c r="D79" s="645"/>
      <c r="E79" s="645" t="e">
        <f t="shared" si="22"/>
        <v>#DIV/0!</v>
      </c>
      <c r="F79" s="645" t="e">
        <f t="shared" si="22"/>
        <v>#DIV/0!</v>
      </c>
      <c r="G79" s="645" t="e">
        <f t="shared" si="22"/>
        <v>#DIV/0!</v>
      </c>
      <c r="H79" s="645" t="e">
        <f t="shared" si="22"/>
        <v>#DIV/0!</v>
      </c>
      <c r="I79" s="645" t="e">
        <f t="shared" si="22"/>
        <v>#DIV/0!</v>
      </c>
      <c r="J79" s="645" t="e">
        <f t="shared" si="22"/>
        <v>#DIV/0!</v>
      </c>
    </row>
    <row r="80" spans="1:10">
      <c r="A80" s="632">
        <f>A79+1</f>
        <v>54</v>
      </c>
      <c r="B80" s="7" t="str">
        <f>"Preferred Stock Capital Cost Rate (Ln "&amp;A53&amp;" / Ln "&amp;A52&amp;")"</f>
        <v>Preferred Stock Capital Cost Rate (Ln 36 / Ln 35)</v>
      </c>
      <c r="C80" s="645">
        <f t="shared" ref="C80:J80" si="23">IF(C52=0,0,C53/C52)</f>
        <v>0</v>
      </c>
      <c r="D80" s="645"/>
      <c r="E80" s="645">
        <f t="shared" si="23"/>
        <v>0</v>
      </c>
      <c r="F80" s="645">
        <f t="shared" si="23"/>
        <v>0</v>
      </c>
      <c r="G80" s="645">
        <f t="shared" si="23"/>
        <v>0</v>
      </c>
      <c r="H80" s="645">
        <f t="shared" si="23"/>
        <v>0</v>
      </c>
      <c r="I80" s="645">
        <f t="shared" si="23"/>
        <v>0</v>
      </c>
      <c r="J80" s="645">
        <f t="shared" si="23"/>
        <v>0</v>
      </c>
    </row>
    <row r="81" spans="1:10">
      <c r="A81" s="632">
        <f>A80+1</f>
        <v>55</v>
      </c>
      <c r="B81" s="7" t="s">
        <v>528</v>
      </c>
      <c r="C81" s="645">
        <v>0.1149</v>
      </c>
      <c r="D81" s="645"/>
      <c r="E81" s="645">
        <v>0.1149</v>
      </c>
      <c r="F81" s="645">
        <v>0.1149</v>
      </c>
      <c r="G81" s="645">
        <v>0.1149</v>
      </c>
      <c r="H81" s="645">
        <v>0.1149</v>
      </c>
      <c r="I81" s="645">
        <v>0.1149</v>
      </c>
      <c r="J81" s="645">
        <v>0.1149</v>
      </c>
    </row>
    <row r="83" spans="1:10" ht="15">
      <c r="A83" s="603" t="s">
        <v>529</v>
      </c>
    </row>
    <row r="84" spans="1:10">
      <c r="A84" s="632">
        <f>A81+1</f>
        <v>56</v>
      </c>
      <c r="B84" s="7" t="str">
        <f>"LTD Weighted Capital Cost Rate (Ln "&amp;A68&amp;" * Ln "&amp;A79&amp;")"</f>
        <v>LTD Weighted Capital Cost Rate (Ln 46 * Ln 53)</v>
      </c>
      <c r="C84" s="645" t="e">
        <f>C68*C79</f>
        <v>#DIV/0!</v>
      </c>
      <c r="D84" s="645"/>
      <c r="E84" s="645" t="e">
        <f t="shared" ref="E84:J84" si="24">E68*E79</f>
        <v>#DIV/0!</v>
      </c>
      <c r="F84" s="645" t="e">
        <f t="shared" si="24"/>
        <v>#DIV/0!</v>
      </c>
      <c r="G84" s="645" t="e">
        <f t="shared" si="24"/>
        <v>#DIV/0!</v>
      </c>
      <c r="H84" s="645" t="e">
        <f t="shared" si="24"/>
        <v>#DIV/0!</v>
      </c>
      <c r="I84" s="645" t="e">
        <f t="shared" si="24"/>
        <v>#DIV/0!</v>
      </c>
      <c r="J84" s="645" t="e">
        <f t="shared" si="24"/>
        <v>#DIV/0!</v>
      </c>
    </row>
    <row r="85" spans="1:10">
      <c r="A85" s="632">
        <f>A84+1</f>
        <v>57</v>
      </c>
      <c r="B85" s="7" t="str">
        <f>"Preferred Stock Capital Cost Rate (Ln "&amp;A69&amp;" * Ln "&amp;A80&amp;")"</f>
        <v>Preferred Stock Capital Cost Rate (Ln 47 * Ln 54)</v>
      </c>
      <c r="C85" s="645" t="e">
        <f>C69*C80</f>
        <v>#DIV/0!</v>
      </c>
      <c r="D85" s="645"/>
      <c r="E85" s="645" t="e">
        <f t="shared" ref="E85:J85" si="25">E69*E80</f>
        <v>#DIV/0!</v>
      </c>
      <c r="F85" s="645" t="e">
        <f t="shared" si="25"/>
        <v>#DIV/0!</v>
      </c>
      <c r="G85" s="645" t="e">
        <f t="shared" si="25"/>
        <v>#DIV/0!</v>
      </c>
      <c r="H85" s="645" t="e">
        <f t="shared" si="25"/>
        <v>#DIV/0!</v>
      </c>
      <c r="I85" s="645" t="e">
        <f t="shared" si="25"/>
        <v>#DIV/0!</v>
      </c>
      <c r="J85" s="645" t="e">
        <f t="shared" si="25"/>
        <v>#DIV/0!</v>
      </c>
    </row>
    <row r="86" spans="1:10">
      <c r="A86" s="632">
        <f>A85+1</f>
        <v>58</v>
      </c>
      <c r="B86" s="7" t="str">
        <f>"Common Equity Capital Cost Rate (Ln "&amp;A70&amp;" * Ln "&amp;A81&amp;")"</f>
        <v>Common Equity Capital Cost Rate (Ln 48 * Ln 55)</v>
      </c>
      <c r="C86" s="648" t="e">
        <f>C70*C81</f>
        <v>#DIV/0!</v>
      </c>
      <c r="D86" s="648"/>
      <c r="E86" s="648" t="e">
        <f t="shared" ref="E86:J86" si="26">E70*E81</f>
        <v>#DIV/0!</v>
      </c>
      <c r="F86" s="648" t="e">
        <f t="shared" si="26"/>
        <v>#DIV/0!</v>
      </c>
      <c r="G86" s="648" t="e">
        <f t="shared" si="26"/>
        <v>#DIV/0!</v>
      </c>
      <c r="H86" s="648" t="e">
        <f t="shared" si="26"/>
        <v>#DIV/0!</v>
      </c>
      <c r="I86" s="648" t="e">
        <f t="shared" si="26"/>
        <v>#DIV/0!</v>
      </c>
      <c r="J86" s="648" t="e">
        <f t="shared" si="26"/>
        <v>#DIV/0!</v>
      </c>
    </row>
    <row r="87" spans="1:10">
      <c r="A87" s="632">
        <f>A86+1</f>
        <v>59</v>
      </c>
      <c r="B87" s="638" t="s">
        <v>526</v>
      </c>
      <c r="C87" s="649" t="e">
        <f t="shared" ref="C87:J87" si="27">SUM(C84:C86)</f>
        <v>#DIV/0!</v>
      </c>
      <c r="D87" s="649"/>
      <c r="E87" s="649" t="e">
        <f t="shared" si="27"/>
        <v>#DIV/0!</v>
      </c>
      <c r="F87" s="649" t="e">
        <f t="shared" si="27"/>
        <v>#DIV/0!</v>
      </c>
      <c r="G87" s="649" t="e">
        <f t="shared" si="27"/>
        <v>#DIV/0!</v>
      </c>
      <c r="H87" s="649" t="e">
        <f t="shared" si="27"/>
        <v>#DIV/0!</v>
      </c>
      <c r="I87" s="649" t="e">
        <f t="shared" si="27"/>
        <v>#DIV/0!</v>
      </c>
      <c r="J87" s="649" t="e">
        <f t="shared" si="27"/>
        <v>#DIV/0!</v>
      </c>
    </row>
    <row r="90" spans="1:10">
      <c r="A90" s="1222" t="s">
        <v>505</v>
      </c>
      <c r="B90" s="1222"/>
      <c r="C90" s="1222"/>
      <c r="D90" s="1222"/>
      <c r="E90" s="1222"/>
      <c r="F90" s="1222"/>
      <c r="G90" s="1222"/>
      <c r="H90" s="1222"/>
      <c r="I90" s="1222"/>
      <c r="J90" s="1222"/>
    </row>
    <row r="91" spans="1:10">
      <c r="A91" s="1222" t="str">
        <f>"Consolidation of Operating Companies' Capital Structure @ December 31, "&amp;TCOS!L4-1&amp;""</f>
        <v>Consolidation of Operating Companies' Capital Structure @ December 31, 2025</v>
      </c>
      <c r="B91" s="1222"/>
      <c r="C91" s="1222"/>
      <c r="D91" s="1222"/>
      <c r="E91" s="1222"/>
      <c r="F91" s="1222"/>
      <c r="G91" s="1222"/>
      <c r="H91" s="1222"/>
      <c r="I91" s="1222"/>
      <c r="J91" s="1222"/>
    </row>
    <row r="92" spans="1:10">
      <c r="A92" s="1222" t="s">
        <v>249</v>
      </c>
      <c r="B92" s="1222"/>
      <c r="C92" s="1222"/>
      <c r="D92" s="1222"/>
      <c r="E92" s="1222"/>
      <c r="F92" s="1222"/>
      <c r="G92" s="1222"/>
      <c r="H92" s="1222"/>
      <c r="I92" s="1222"/>
      <c r="J92" s="1222"/>
    </row>
    <row r="93" spans="1:10">
      <c r="B93" s="643"/>
    </row>
    <row r="94" spans="1:10" ht="76.5">
      <c r="A94" s="632" t="s">
        <v>459</v>
      </c>
      <c r="C94" s="633" t="s">
        <v>506</v>
      </c>
      <c r="D94" s="633"/>
      <c r="E94" s="633" t="s">
        <v>507</v>
      </c>
      <c r="F94" s="633" t="s">
        <v>508</v>
      </c>
      <c r="G94" s="633" t="s">
        <v>509</v>
      </c>
      <c r="H94" s="633" t="s">
        <v>510</v>
      </c>
      <c r="I94" s="633" t="s">
        <v>511</v>
      </c>
      <c r="J94" s="633" t="s">
        <v>512</v>
      </c>
    </row>
    <row r="95" spans="1:10" ht="15">
      <c r="A95" s="603" t="s">
        <v>513</v>
      </c>
    </row>
    <row r="96" spans="1:10">
      <c r="A96" s="632">
        <f>A87+1</f>
        <v>60</v>
      </c>
      <c r="B96" s="75" t="s">
        <v>338</v>
      </c>
      <c r="C96" s="604"/>
      <c r="D96" s="604"/>
      <c r="E96" s="604"/>
      <c r="F96" s="604"/>
      <c r="G96" s="604"/>
      <c r="H96" s="604"/>
      <c r="I96" s="604"/>
      <c r="J96" s="591">
        <f>SUM(C96:I96)</f>
        <v>0</v>
      </c>
    </row>
    <row r="97" spans="1:10">
      <c r="A97" s="632">
        <f>A96+1</f>
        <v>61</v>
      </c>
      <c r="B97" s="75" t="s">
        <v>339</v>
      </c>
      <c r="C97" s="604"/>
      <c r="D97" s="604"/>
      <c r="E97" s="604"/>
      <c r="F97" s="604"/>
      <c r="G97" s="604"/>
      <c r="H97" s="604"/>
      <c r="I97" s="604"/>
      <c r="J97" s="591">
        <f>SUM(C97:I97)</f>
        <v>0</v>
      </c>
    </row>
    <row r="98" spans="1:10">
      <c r="A98" s="632">
        <f>A97+1</f>
        <v>62</v>
      </c>
      <c r="B98" s="14" t="s">
        <v>23</v>
      </c>
      <c r="C98" s="604"/>
      <c r="D98" s="604"/>
      <c r="E98" s="604"/>
      <c r="F98" s="604"/>
      <c r="G98" s="604"/>
      <c r="H98" s="604"/>
      <c r="I98" s="604"/>
      <c r="J98" s="591">
        <f>SUM(C98:I98)</f>
        <v>0</v>
      </c>
    </row>
    <row r="99" spans="1:10">
      <c r="A99" s="632">
        <f>A98+1</f>
        <v>63</v>
      </c>
      <c r="B99" s="14" t="s">
        <v>17</v>
      </c>
      <c r="C99" s="604"/>
      <c r="D99" s="604"/>
      <c r="E99" s="604"/>
      <c r="F99" s="604"/>
      <c r="G99" s="604"/>
      <c r="H99" s="604"/>
      <c r="I99" s="604"/>
      <c r="J99" s="591">
        <f>SUM(C99:I99)</f>
        <v>0</v>
      </c>
    </row>
    <row r="100" spans="1:10">
      <c r="A100" s="632">
        <f>A99+1</f>
        <v>64</v>
      </c>
      <c r="B100" s="14" t="str">
        <f>"Less: Fair Value Hedges (See Note on Ln "&amp;A103&amp;" below)"</f>
        <v>Less: Fair Value Hedges (See Note on Ln 66 below)</v>
      </c>
      <c r="C100" s="119"/>
      <c r="D100" s="119"/>
      <c r="E100" s="119"/>
      <c r="F100" s="119"/>
      <c r="G100" s="119"/>
      <c r="H100" s="119"/>
      <c r="I100" s="119"/>
      <c r="J100" s="634">
        <f>SUM(C100:I100)</f>
        <v>0</v>
      </c>
    </row>
    <row r="101" spans="1:10">
      <c r="A101" s="632">
        <f>A100+1</f>
        <v>65</v>
      </c>
      <c r="B101" s="13" t="s">
        <v>59</v>
      </c>
      <c r="C101" s="635">
        <f t="shared" ref="C101:J101" si="28">C96-C97+C98+C99-C100</f>
        <v>0</v>
      </c>
      <c r="D101" s="635"/>
      <c r="E101" s="635">
        <f t="shared" si="28"/>
        <v>0</v>
      </c>
      <c r="F101" s="635">
        <f t="shared" si="28"/>
        <v>0</v>
      </c>
      <c r="G101" s="635">
        <f t="shared" si="28"/>
        <v>0</v>
      </c>
      <c r="H101" s="635">
        <f t="shared" si="28"/>
        <v>0</v>
      </c>
      <c r="I101" s="635">
        <f t="shared" si="28"/>
        <v>0</v>
      </c>
      <c r="J101" s="635">
        <f t="shared" si="28"/>
        <v>0</v>
      </c>
    </row>
    <row r="103" spans="1:10">
      <c r="A103" s="632">
        <f>A101+1</f>
        <v>66</v>
      </c>
      <c r="B103" s="1221" t="s">
        <v>58</v>
      </c>
      <c r="C103" s="1221"/>
      <c r="D103" s="1221"/>
      <c r="E103" s="1221"/>
      <c r="F103" s="1221"/>
      <c r="G103" s="1221"/>
      <c r="H103" s="1221"/>
      <c r="I103" s="1221"/>
      <c r="J103" s="1221"/>
    </row>
    <row r="104" spans="1:10">
      <c r="B104" s="636"/>
      <c r="C104" s="636"/>
      <c r="D104" s="636"/>
      <c r="E104" s="636"/>
      <c r="F104" s="636"/>
      <c r="G104" s="636"/>
      <c r="H104" s="636"/>
      <c r="I104" s="636"/>
      <c r="J104" s="636"/>
    </row>
    <row r="105" spans="1:10" ht="15">
      <c r="A105" s="603" t="s">
        <v>514</v>
      </c>
    </row>
    <row r="106" spans="1:10">
      <c r="A106" s="632">
        <f>A103+1</f>
        <v>67</v>
      </c>
      <c r="B106" s="75" t="s">
        <v>340</v>
      </c>
      <c r="C106" s="118"/>
      <c r="D106" s="118"/>
      <c r="E106" s="118"/>
      <c r="F106" s="118"/>
      <c r="G106" s="118"/>
      <c r="H106" s="118"/>
      <c r="I106" s="118"/>
      <c r="J106" s="343">
        <f t="shared" ref="J106:J111" si="29">SUM(C106:I106)</f>
        <v>0</v>
      </c>
    </row>
    <row r="107" spans="1:10">
      <c r="A107" s="632">
        <f t="shared" ref="A107:A112" si="30">A106+1</f>
        <v>68</v>
      </c>
      <c r="B107" s="75" t="s">
        <v>333</v>
      </c>
      <c r="C107" s="118"/>
      <c r="D107" s="118"/>
      <c r="E107" s="118"/>
      <c r="F107" s="118"/>
      <c r="G107" s="118"/>
      <c r="H107" s="118"/>
      <c r="I107" s="118"/>
      <c r="J107" s="343">
        <f t="shared" si="29"/>
        <v>0</v>
      </c>
    </row>
    <row r="108" spans="1:10">
      <c r="A108" s="632">
        <f t="shared" si="30"/>
        <v>69</v>
      </c>
      <c r="B108" s="75" t="s">
        <v>334</v>
      </c>
      <c r="C108" s="118"/>
      <c r="D108" s="118"/>
      <c r="E108" s="118"/>
      <c r="F108" s="118"/>
      <c r="G108" s="118"/>
      <c r="H108" s="118"/>
      <c r="I108" s="118"/>
      <c r="J108" s="343">
        <f t="shared" si="29"/>
        <v>0</v>
      </c>
    </row>
    <row r="109" spans="1:10">
      <c r="A109" s="632">
        <f t="shared" si="30"/>
        <v>70</v>
      </c>
      <c r="B109" s="75" t="s">
        <v>335</v>
      </c>
      <c r="C109" s="604"/>
      <c r="D109" s="604"/>
      <c r="E109" s="604"/>
      <c r="F109" s="604"/>
      <c r="G109" s="604"/>
      <c r="H109" s="604"/>
      <c r="I109" s="604"/>
      <c r="J109" s="591">
        <f t="shared" si="29"/>
        <v>0</v>
      </c>
    </row>
    <row r="110" spans="1:10">
      <c r="A110" s="632">
        <f t="shared" si="30"/>
        <v>71</v>
      </c>
      <c r="B110" s="75" t="s">
        <v>336</v>
      </c>
      <c r="C110" s="604"/>
      <c r="D110" s="604"/>
      <c r="E110" s="604"/>
      <c r="F110" s="604"/>
      <c r="G110" s="604"/>
      <c r="H110" s="604"/>
      <c r="I110" s="604"/>
      <c r="J110" s="591">
        <f t="shared" si="29"/>
        <v>0</v>
      </c>
    </row>
    <row r="111" spans="1:10">
      <c r="A111" s="632">
        <f t="shared" si="30"/>
        <v>72</v>
      </c>
      <c r="B111" s="637" t="s">
        <v>515</v>
      </c>
      <c r="C111" s="119"/>
      <c r="D111" s="119"/>
      <c r="E111" s="119"/>
      <c r="F111" s="119"/>
      <c r="G111" s="119"/>
      <c r="H111" s="119"/>
      <c r="I111" s="119"/>
      <c r="J111" s="634">
        <f t="shared" si="29"/>
        <v>0</v>
      </c>
    </row>
    <row r="112" spans="1:10">
      <c r="A112" s="632">
        <f t="shared" si="30"/>
        <v>73</v>
      </c>
      <c r="B112" s="638" t="s">
        <v>60</v>
      </c>
      <c r="C112" s="639">
        <f t="shared" ref="C112:J112" si="31">C106+C107+C108-C109-C110-C111</f>
        <v>0</v>
      </c>
      <c r="D112" s="639"/>
      <c r="E112" s="639">
        <f t="shared" si="31"/>
        <v>0</v>
      </c>
      <c r="F112" s="639">
        <f t="shared" si="31"/>
        <v>0</v>
      </c>
      <c r="G112" s="639">
        <f t="shared" si="31"/>
        <v>0</v>
      </c>
      <c r="H112" s="639">
        <f t="shared" si="31"/>
        <v>0</v>
      </c>
      <c r="I112" s="639">
        <f t="shared" si="31"/>
        <v>0</v>
      </c>
      <c r="J112" s="639">
        <f t="shared" si="31"/>
        <v>0</v>
      </c>
    </row>
    <row r="114" spans="1:10" ht="15">
      <c r="A114" s="603" t="s">
        <v>516</v>
      </c>
      <c r="B114" s="640"/>
      <c r="C114" s="640"/>
      <c r="D114" s="640"/>
      <c r="E114" s="640"/>
    </row>
    <row r="115" spans="1:10">
      <c r="A115" s="632">
        <f>A112+1</f>
        <v>74</v>
      </c>
      <c r="B115" s="76" t="s">
        <v>517</v>
      </c>
      <c r="C115" s="605"/>
      <c r="D115" s="656"/>
      <c r="E115" s="657"/>
      <c r="F115" s="656"/>
      <c r="G115" s="656"/>
      <c r="H115" s="605"/>
      <c r="I115" s="656"/>
      <c r="J115" s="641"/>
    </row>
    <row r="116" spans="1:10">
      <c r="A116" s="632">
        <f>A115+1</f>
        <v>75</v>
      </c>
      <c r="B116" s="76" t="s">
        <v>518</v>
      </c>
      <c r="C116" s="606"/>
      <c r="D116" s="658"/>
      <c r="E116" s="606"/>
      <c r="F116" s="658"/>
      <c r="G116" s="658"/>
      <c r="H116" s="606"/>
      <c r="I116" s="658"/>
      <c r="J116" s="642"/>
    </row>
    <row r="117" spans="1:10">
      <c r="A117" s="632">
        <f>A116+1</f>
        <v>76</v>
      </c>
      <c r="B117" s="76" t="s">
        <v>519</v>
      </c>
      <c r="C117" s="118"/>
      <c r="D117" s="659"/>
      <c r="E117" s="118"/>
      <c r="F117" s="659"/>
      <c r="G117" s="659"/>
      <c r="H117" s="118"/>
      <c r="I117" s="659"/>
    </row>
    <row r="118" spans="1:10">
      <c r="A118" s="632">
        <f>A117+1</f>
        <v>77</v>
      </c>
      <c r="B118" s="76" t="str">
        <f>"Monetary Value (Ln "&amp;A116&amp;" * Ln "&amp;A117&amp;")"</f>
        <v>Monetary Value (Ln 75 * Ln 76)</v>
      </c>
      <c r="C118" s="342">
        <f t="shared" ref="C118:I118" si="32">C116*C117</f>
        <v>0</v>
      </c>
      <c r="D118" s="342"/>
      <c r="E118" s="342">
        <f t="shared" si="32"/>
        <v>0</v>
      </c>
      <c r="F118" s="342">
        <f t="shared" si="32"/>
        <v>0</v>
      </c>
      <c r="G118" s="342">
        <f t="shared" si="32"/>
        <v>0</v>
      </c>
      <c r="H118" s="342">
        <f t="shared" si="32"/>
        <v>0</v>
      </c>
      <c r="I118" s="342">
        <f t="shared" si="32"/>
        <v>0</v>
      </c>
      <c r="J118" s="639">
        <f>SUM(C118:I118)</f>
        <v>0</v>
      </c>
    </row>
    <row r="119" spans="1:10">
      <c r="A119" s="632">
        <f>A118+1</f>
        <v>78</v>
      </c>
      <c r="B119" s="76" t="str">
        <f>"Dividend Amount (Ln "&amp;A115&amp;" * Ln "&amp;A118&amp;")"</f>
        <v>Dividend Amount (Ln 74 * Ln 77)</v>
      </c>
      <c r="C119" s="342">
        <f t="shared" ref="C119:I119" si="33">C118*C115</f>
        <v>0</v>
      </c>
      <c r="D119" s="342"/>
      <c r="E119" s="342">
        <f t="shared" si="33"/>
        <v>0</v>
      </c>
      <c r="F119" s="342">
        <f t="shared" si="33"/>
        <v>0</v>
      </c>
      <c r="G119" s="342">
        <f t="shared" si="33"/>
        <v>0</v>
      </c>
      <c r="H119" s="342">
        <f t="shared" si="33"/>
        <v>0</v>
      </c>
      <c r="I119" s="342">
        <f t="shared" si="33"/>
        <v>0</v>
      </c>
      <c r="J119" s="639">
        <f>SUM(C119:I119)</f>
        <v>0</v>
      </c>
    </row>
    <row r="121" spans="1:10">
      <c r="A121" s="632">
        <f>A119+1</f>
        <v>79</v>
      </c>
      <c r="B121" s="76" t="s">
        <v>517</v>
      </c>
      <c r="C121" s="605"/>
      <c r="D121" s="656"/>
      <c r="E121" s="657"/>
      <c r="F121" s="656"/>
      <c r="G121" s="656"/>
      <c r="H121" s="605"/>
      <c r="I121" s="656"/>
    </row>
    <row r="122" spans="1:10">
      <c r="A122" s="632">
        <f>A121+1</f>
        <v>80</v>
      </c>
      <c r="B122" s="76" t="s">
        <v>518</v>
      </c>
      <c r="C122" s="606"/>
      <c r="D122" s="658"/>
      <c r="E122" s="606"/>
      <c r="F122" s="658"/>
      <c r="G122" s="658"/>
      <c r="H122" s="606"/>
      <c r="I122" s="658"/>
    </row>
    <row r="123" spans="1:10">
      <c r="A123" s="632">
        <f>A122+1</f>
        <v>81</v>
      </c>
      <c r="B123" s="76" t="s">
        <v>519</v>
      </c>
      <c r="C123" s="118"/>
      <c r="D123" s="659"/>
      <c r="E123" s="118"/>
      <c r="F123" s="659"/>
      <c r="G123" s="659"/>
      <c r="H123" s="118"/>
      <c r="I123" s="659"/>
    </row>
    <row r="124" spans="1:10">
      <c r="A124" s="632">
        <f>A123+1</f>
        <v>82</v>
      </c>
      <c r="B124" s="76" t="str">
        <f>"Monetary Value (Ln "&amp;A122&amp;" * Ln "&amp;A123&amp;")"</f>
        <v>Monetary Value (Ln 80 * Ln 81)</v>
      </c>
      <c r="C124" s="342">
        <f t="shared" ref="C124:I124" si="34">C122*C123</f>
        <v>0</v>
      </c>
      <c r="D124" s="342"/>
      <c r="E124" s="342">
        <f t="shared" si="34"/>
        <v>0</v>
      </c>
      <c r="F124" s="342">
        <f t="shared" si="34"/>
        <v>0</v>
      </c>
      <c r="G124" s="342">
        <f t="shared" si="34"/>
        <v>0</v>
      </c>
      <c r="H124" s="342">
        <f t="shared" si="34"/>
        <v>0</v>
      </c>
      <c r="I124" s="342">
        <f t="shared" si="34"/>
        <v>0</v>
      </c>
      <c r="J124" s="639">
        <f>SUM(C124:I124)</f>
        <v>0</v>
      </c>
    </row>
    <row r="125" spans="1:10">
      <c r="A125" s="632">
        <f>A124+1</f>
        <v>83</v>
      </c>
      <c r="B125" s="76" t="str">
        <f>"Dividend Amount (Ln "&amp;A121&amp;" * Ln "&amp;A124&amp;")"</f>
        <v>Dividend Amount (Ln 79 * Ln 82)</v>
      </c>
      <c r="C125" s="342">
        <f t="shared" ref="C125:I125" si="35">C124*C121</f>
        <v>0</v>
      </c>
      <c r="D125" s="342"/>
      <c r="E125" s="342">
        <f t="shared" si="35"/>
        <v>0</v>
      </c>
      <c r="F125" s="342">
        <f t="shared" si="35"/>
        <v>0</v>
      </c>
      <c r="G125" s="342">
        <f t="shared" si="35"/>
        <v>0</v>
      </c>
      <c r="H125" s="342">
        <f t="shared" si="35"/>
        <v>0</v>
      </c>
      <c r="I125" s="342">
        <f t="shared" si="35"/>
        <v>0</v>
      </c>
      <c r="J125" s="639">
        <f>SUM(C125:I125)</f>
        <v>0</v>
      </c>
    </row>
    <row r="127" spans="1:10">
      <c r="A127" s="632">
        <f>A125+1</f>
        <v>84</v>
      </c>
      <c r="B127" s="76" t="s">
        <v>517</v>
      </c>
      <c r="C127" s="605"/>
      <c r="D127" s="656"/>
      <c r="E127" s="657"/>
      <c r="F127" s="656"/>
      <c r="G127" s="656"/>
      <c r="H127" s="605"/>
      <c r="I127" s="656"/>
    </row>
    <row r="128" spans="1:10">
      <c r="A128" s="632">
        <f>A127+1</f>
        <v>85</v>
      </c>
      <c r="B128" s="76" t="s">
        <v>518</v>
      </c>
      <c r="C128" s="606"/>
      <c r="D128" s="658"/>
      <c r="E128" s="606"/>
      <c r="F128" s="658"/>
      <c r="G128" s="658"/>
      <c r="H128" s="606"/>
      <c r="I128" s="658"/>
    </row>
    <row r="129" spans="1:10">
      <c r="A129" s="632">
        <f>A128+1</f>
        <v>86</v>
      </c>
      <c r="B129" s="76" t="s">
        <v>519</v>
      </c>
      <c r="C129" s="118"/>
      <c r="D129" s="659"/>
      <c r="E129" s="118"/>
      <c r="F129" s="659"/>
      <c r="G129" s="659"/>
      <c r="H129" s="118"/>
      <c r="I129" s="659"/>
    </row>
    <row r="130" spans="1:10">
      <c r="A130" s="632">
        <f>A129+1</f>
        <v>87</v>
      </c>
      <c r="B130" s="76" t="str">
        <f>"Monetary Value (Ln "&amp;A128&amp;" * Ln "&amp;A129&amp;")"</f>
        <v>Monetary Value (Ln 85 * Ln 86)</v>
      </c>
      <c r="C130" s="342">
        <f t="shared" ref="C130:I130" si="36">C128*C129</f>
        <v>0</v>
      </c>
      <c r="D130" s="342"/>
      <c r="E130" s="342">
        <f t="shared" si="36"/>
        <v>0</v>
      </c>
      <c r="F130" s="342">
        <f t="shared" si="36"/>
        <v>0</v>
      </c>
      <c r="G130" s="342">
        <f t="shared" si="36"/>
        <v>0</v>
      </c>
      <c r="H130" s="342">
        <f t="shared" si="36"/>
        <v>0</v>
      </c>
      <c r="I130" s="342">
        <f t="shared" si="36"/>
        <v>0</v>
      </c>
      <c r="J130" s="639">
        <f>SUM(C130:I130)</f>
        <v>0</v>
      </c>
    </row>
    <row r="131" spans="1:10">
      <c r="A131" s="632">
        <f>A130+1</f>
        <v>88</v>
      </c>
      <c r="B131" s="76" t="str">
        <f>"Dividend Amount (Ln "&amp;A127&amp;" * Ln "&amp;A130&amp;")"</f>
        <v>Dividend Amount (Ln 84 * Ln 87)</v>
      </c>
      <c r="C131" s="342">
        <f t="shared" ref="C131:I131" si="37">C130*C127</f>
        <v>0</v>
      </c>
      <c r="D131" s="342"/>
      <c r="E131" s="342">
        <f t="shared" si="37"/>
        <v>0</v>
      </c>
      <c r="F131" s="342">
        <f t="shared" si="37"/>
        <v>0</v>
      </c>
      <c r="G131" s="342">
        <f t="shared" si="37"/>
        <v>0</v>
      </c>
      <c r="H131" s="342">
        <f t="shared" si="37"/>
        <v>0</v>
      </c>
      <c r="I131" s="342">
        <f t="shared" si="37"/>
        <v>0</v>
      </c>
      <c r="J131" s="639">
        <f>SUM(C131:I131)</f>
        <v>0</v>
      </c>
    </row>
    <row r="133" spans="1:10">
      <c r="A133" s="632">
        <f>A131+1</f>
        <v>89</v>
      </c>
      <c r="B133" s="76" t="s">
        <v>517</v>
      </c>
      <c r="C133" s="605"/>
      <c r="D133" s="656"/>
      <c r="E133" s="657"/>
      <c r="F133" s="656"/>
      <c r="G133" s="656"/>
      <c r="H133" s="605"/>
      <c r="I133" s="656"/>
    </row>
    <row r="134" spans="1:10">
      <c r="A134" s="632">
        <f>A133+1</f>
        <v>90</v>
      </c>
      <c r="B134" s="76" t="s">
        <v>518</v>
      </c>
      <c r="C134" s="606"/>
      <c r="D134" s="658"/>
      <c r="E134" s="606"/>
      <c r="F134" s="658"/>
      <c r="G134" s="658"/>
      <c r="H134" s="606"/>
      <c r="I134" s="658"/>
    </row>
    <row r="135" spans="1:10">
      <c r="A135" s="632">
        <f>A134+1</f>
        <v>91</v>
      </c>
      <c r="B135" s="76" t="s">
        <v>519</v>
      </c>
      <c r="C135" s="118"/>
      <c r="D135" s="659"/>
      <c r="E135" s="118"/>
      <c r="F135" s="659"/>
      <c r="G135" s="659"/>
      <c r="H135" s="118"/>
      <c r="I135" s="659"/>
    </row>
    <row r="136" spans="1:10">
      <c r="A136" s="632">
        <f>A135+1</f>
        <v>92</v>
      </c>
      <c r="B136" s="76" t="str">
        <f>"Monetary Value (Ln "&amp;A134&amp;" * Ln "&amp;A135&amp;")"</f>
        <v>Monetary Value (Ln 90 * Ln 91)</v>
      </c>
      <c r="C136" s="342">
        <f t="shared" ref="C136:I136" si="38">C134*C135</f>
        <v>0</v>
      </c>
      <c r="D136" s="342"/>
      <c r="E136" s="342">
        <f t="shared" si="38"/>
        <v>0</v>
      </c>
      <c r="F136" s="342">
        <f t="shared" si="38"/>
        <v>0</v>
      </c>
      <c r="G136" s="342">
        <f t="shared" si="38"/>
        <v>0</v>
      </c>
      <c r="H136" s="342">
        <f t="shared" si="38"/>
        <v>0</v>
      </c>
      <c r="I136" s="342">
        <f t="shared" si="38"/>
        <v>0</v>
      </c>
      <c r="J136" s="639">
        <f>SUM(C136:I136)</f>
        <v>0</v>
      </c>
    </row>
    <row r="137" spans="1:10">
      <c r="A137" s="632">
        <f>A136+1</f>
        <v>93</v>
      </c>
      <c r="B137" s="76" t="str">
        <f>"Dividend Amount (Ln "&amp;A133&amp;" * Ln "&amp;A136&amp;")"</f>
        <v>Dividend Amount (Ln 89 * Ln 92)</v>
      </c>
      <c r="C137" s="342">
        <f t="shared" ref="C137:I137" si="39">C136*C133</f>
        <v>0</v>
      </c>
      <c r="D137" s="342"/>
      <c r="E137" s="342">
        <f t="shared" si="39"/>
        <v>0</v>
      </c>
      <c r="F137" s="342">
        <f t="shared" si="39"/>
        <v>0</v>
      </c>
      <c r="G137" s="342">
        <f t="shared" si="39"/>
        <v>0</v>
      </c>
      <c r="H137" s="342">
        <f t="shared" si="39"/>
        <v>0</v>
      </c>
      <c r="I137" s="342">
        <f t="shared" si="39"/>
        <v>0</v>
      </c>
      <c r="J137" s="639">
        <f>SUM(C137:I137)</f>
        <v>0</v>
      </c>
    </row>
    <row r="138" spans="1:10">
      <c r="B138" s="76"/>
    </row>
    <row r="139" spans="1:10">
      <c r="A139" s="632">
        <f>A137+1</f>
        <v>94</v>
      </c>
      <c r="B139" s="345" t="str">
        <f>"Preferred Stock (Lns "&amp;A118&amp;", "&amp;A124&amp;", "&amp;A130&amp;","&amp;A136&amp;")"</f>
        <v>Preferred Stock (Lns 77, 82, 87,92)</v>
      </c>
      <c r="C139" s="639">
        <f t="shared" ref="C139:I140" si="40">C118+C124+C130+C136</f>
        <v>0</v>
      </c>
      <c r="D139" s="639"/>
      <c r="E139" s="639">
        <f t="shared" si="40"/>
        <v>0</v>
      </c>
      <c r="F139" s="639">
        <f t="shared" si="40"/>
        <v>0</v>
      </c>
      <c r="G139" s="639">
        <f t="shared" si="40"/>
        <v>0</v>
      </c>
      <c r="H139" s="639">
        <f t="shared" si="40"/>
        <v>0</v>
      </c>
      <c r="I139" s="639">
        <f t="shared" si="40"/>
        <v>0</v>
      </c>
      <c r="J139" s="639">
        <f>SUM(C139:I139)</f>
        <v>0</v>
      </c>
    </row>
    <row r="140" spans="1:10">
      <c r="A140" s="632">
        <f>A139+1</f>
        <v>95</v>
      </c>
      <c r="B140" s="345" t="str">
        <f>"Preferred Dividends (Lns "&amp;A119&amp;", "&amp;A125&amp;", "&amp;A131&amp;","&amp;A137&amp;")"</f>
        <v>Preferred Dividends (Lns 78, 83, 88,93)</v>
      </c>
      <c r="C140" s="639">
        <f t="shared" si="40"/>
        <v>0</v>
      </c>
      <c r="D140" s="639"/>
      <c r="E140" s="639">
        <f t="shared" si="40"/>
        <v>0</v>
      </c>
      <c r="F140" s="639">
        <f t="shared" si="40"/>
        <v>0</v>
      </c>
      <c r="G140" s="639">
        <f t="shared" si="40"/>
        <v>0</v>
      </c>
      <c r="H140" s="639">
        <f t="shared" si="40"/>
        <v>0</v>
      </c>
      <c r="I140" s="639">
        <f t="shared" si="40"/>
        <v>0</v>
      </c>
      <c r="J140" s="639">
        <f>SUM(C140:I140)</f>
        <v>0</v>
      </c>
    </row>
    <row r="141" spans="1:10">
      <c r="B141" s="643"/>
    </row>
    <row r="142" spans="1:10" ht="15">
      <c r="A142" s="603" t="s">
        <v>520</v>
      </c>
    </row>
    <row r="143" spans="1:10">
      <c r="A143" s="632">
        <f>A140+1</f>
        <v>96</v>
      </c>
      <c r="B143" s="453" t="s">
        <v>521</v>
      </c>
      <c r="C143" s="118"/>
      <c r="D143" s="118"/>
      <c r="E143" s="118"/>
      <c r="F143" s="118"/>
      <c r="G143" s="118"/>
      <c r="H143" s="118"/>
      <c r="I143" s="118"/>
      <c r="J143" s="639">
        <f>SUM(C143:I143)</f>
        <v>0</v>
      </c>
    </row>
    <row r="144" spans="1:10">
      <c r="A144" s="632">
        <f>A143+1</f>
        <v>97</v>
      </c>
      <c r="B144" s="453" t="str">
        <f>"Less: Preferred Stock (Ln "&amp;A139&amp;" Above)"</f>
        <v>Less: Preferred Stock (Ln 94 Above)</v>
      </c>
      <c r="C144" s="343">
        <f>C139</f>
        <v>0</v>
      </c>
      <c r="D144" s="343"/>
      <c r="E144" s="343">
        <f>E139</f>
        <v>0</v>
      </c>
      <c r="F144" s="343">
        <f>F139</f>
        <v>0</v>
      </c>
      <c r="G144" s="343">
        <f>G139</f>
        <v>0</v>
      </c>
      <c r="H144" s="343">
        <f>H139</f>
        <v>0</v>
      </c>
      <c r="I144" s="343">
        <f>I139</f>
        <v>0</v>
      </c>
      <c r="J144" s="639">
        <f>SUM(C144:I144)</f>
        <v>0</v>
      </c>
    </row>
    <row r="145" spans="1:10">
      <c r="A145" s="632">
        <f>A144+1</f>
        <v>98</v>
      </c>
      <c r="B145" s="453" t="s">
        <v>522</v>
      </c>
      <c r="C145" s="604"/>
      <c r="D145" s="604"/>
      <c r="E145" s="604"/>
      <c r="F145" s="604"/>
      <c r="G145" s="604"/>
      <c r="H145" s="604"/>
      <c r="I145" s="604"/>
      <c r="J145" s="639">
        <f>SUM(C145:I145)</f>
        <v>0</v>
      </c>
    </row>
    <row r="146" spans="1:10">
      <c r="A146" s="632">
        <f>A145+1</f>
        <v>99</v>
      </c>
      <c r="B146" s="453" t="s">
        <v>523</v>
      </c>
      <c r="C146" s="119"/>
      <c r="D146" s="119"/>
      <c r="E146" s="119"/>
      <c r="F146" s="119"/>
      <c r="G146" s="119"/>
      <c r="H146" s="119"/>
      <c r="I146" s="119"/>
      <c r="J146" s="644">
        <f>SUM(C146:I146)</f>
        <v>0</v>
      </c>
    </row>
    <row r="147" spans="1:10">
      <c r="A147" s="632">
        <f>A146+1</f>
        <v>100</v>
      </c>
      <c r="B147" s="457" t="s">
        <v>524</v>
      </c>
      <c r="C147" s="591">
        <f t="shared" ref="C147:J147" si="41">C143-C144-C145-C146</f>
        <v>0</v>
      </c>
      <c r="D147" s="591"/>
      <c r="E147" s="591">
        <f t="shared" si="41"/>
        <v>0</v>
      </c>
      <c r="F147" s="591">
        <f t="shared" si="41"/>
        <v>0</v>
      </c>
      <c r="G147" s="591">
        <f t="shared" si="41"/>
        <v>0</v>
      </c>
      <c r="H147" s="591">
        <f t="shared" si="41"/>
        <v>0</v>
      </c>
      <c r="I147" s="591">
        <f t="shared" si="41"/>
        <v>0</v>
      </c>
      <c r="J147" s="591">
        <f t="shared" si="41"/>
        <v>0</v>
      </c>
    </row>
    <row r="149" spans="1:10" ht="15">
      <c r="A149" s="603" t="s">
        <v>525</v>
      </c>
    </row>
    <row r="150" spans="1:10">
      <c r="A150" s="632">
        <f>A147+1</f>
        <v>101</v>
      </c>
      <c r="B150" s="7" t="str">
        <f>"Long Term Debt (Ln "&amp;A101&amp;" Above)"</f>
        <v>Long Term Debt (Ln 65 Above)</v>
      </c>
      <c r="C150" s="639">
        <f t="shared" ref="C150:J150" si="42">C101</f>
        <v>0</v>
      </c>
      <c r="D150" s="639"/>
      <c r="E150" s="639">
        <f t="shared" si="42"/>
        <v>0</v>
      </c>
      <c r="F150" s="639">
        <f t="shared" si="42"/>
        <v>0</v>
      </c>
      <c r="G150" s="639">
        <f t="shared" si="42"/>
        <v>0</v>
      </c>
      <c r="H150" s="639">
        <f t="shared" si="42"/>
        <v>0</v>
      </c>
      <c r="I150" s="639">
        <f t="shared" si="42"/>
        <v>0</v>
      </c>
      <c r="J150" s="639">
        <f t="shared" si="42"/>
        <v>0</v>
      </c>
    </row>
    <row r="151" spans="1:10">
      <c r="A151" s="632">
        <f>A150+1</f>
        <v>102</v>
      </c>
      <c r="B151" s="7" t="str">
        <f>"Preferred Stock (Ln "&amp;A139&amp;" Above)"</f>
        <v>Preferred Stock (Ln 94 Above)</v>
      </c>
      <c r="C151" s="639">
        <f t="shared" ref="C151:J151" si="43">C139</f>
        <v>0</v>
      </c>
      <c r="D151" s="639"/>
      <c r="E151" s="639">
        <f t="shared" si="43"/>
        <v>0</v>
      </c>
      <c r="F151" s="639">
        <f t="shared" si="43"/>
        <v>0</v>
      </c>
      <c r="G151" s="639">
        <f t="shared" si="43"/>
        <v>0</v>
      </c>
      <c r="H151" s="639">
        <f t="shared" si="43"/>
        <v>0</v>
      </c>
      <c r="I151" s="639">
        <f t="shared" si="43"/>
        <v>0</v>
      </c>
      <c r="J151" s="639">
        <f t="shared" si="43"/>
        <v>0</v>
      </c>
    </row>
    <row r="152" spans="1:10">
      <c r="A152" s="632">
        <f>A151+1</f>
        <v>103</v>
      </c>
      <c r="B152" s="7" t="str">
        <f>"Common Equity (Ln "&amp;A147&amp;" Above)"</f>
        <v>Common Equity (Ln 100 Above)</v>
      </c>
      <c r="C152" s="644">
        <f t="shared" ref="C152:J152" si="44">C147</f>
        <v>0</v>
      </c>
      <c r="D152" s="644"/>
      <c r="E152" s="644">
        <f t="shared" si="44"/>
        <v>0</v>
      </c>
      <c r="F152" s="644">
        <f t="shared" si="44"/>
        <v>0</v>
      </c>
      <c r="G152" s="644">
        <f t="shared" si="44"/>
        <v>0</v>
      </c>
      <c r="H152" s="644">
        <f t="shared" si="44"/>
        <v>0</v>
      </c>
      <c r="I152" s="644">
        <f t="shared" si="44"/>
        <v>0</v>
      </c>
      <c r="J152" s="644">
        <f t="shared" si="44"/>
        <v>0</v>
      </c>
    </row>
    <row r="153" spans="1:10">
      <c r="A153" s="632">
        <f>A152+1</f>
        <v>104</v>
      </c>
      <c r="B153" s="632" t="s">
        <v>526</v>
      </c>
      <c r="C153" s="639">
        <f t="shared" ref="C153:J153" si="45">SUM(C150:C152)</f>
        <v>0</v>
      </c>
      <c r="D153" s="639"/>
      <c r="E153" s="639">
        <f t="shared" si="45"/>
        <v>0</v>
      </c>
      <c r="F153" s="639">
        <f t="shared" si="45"/>
        <v>0</v>
      </c>
      <c r="G153" s="639">
        <f t="shared" si="45"/>
        <v>0</v>
      </c>
      <c r="H153" s="639">
        <f t="shared" si="45"/>
        <v>0</v>
      </c>
      <c r="I153" s="639">
        <f t="shared" si="45"/>
        <v>0</v>
      </c>
      <c r="J153" s="639">
        <f t="shared" si="45"/>
        <v>0</v>
      </c>
    </row>
    <row r="155" spans="1:10">
      <c r="A155" s="632">
        <f>A153+1</f>
        <v>105</v>
      </c>
      <c r="B155" s="7" t="str">
        <f>"LTD Capital Shares (Ln "&amp;A150&amp;" / Ln "&amp;A153&amp;")"</f>
        <v>LTD Capital Shares (Ln 101 / Ln 104)</v>
      </c>
      <c r="C155" s="645" t="e">
        <f t="shared" ref="C155:J155" si="46">C150/C153</f>
        <v>#DIV/0!</v>
      </c>
      <c r="D155" s="645"/>
      <c r="E155" s="645" t="e">
        <f t="shared" si="46"/>
        <v>#DIV/0!</v>
      </c>
      <c r="F155" s="645" t="e">
        <f t="shared" si="46"/>
        <v>#DIV/0!</v>
      </c>
      <c r="G155" s="645" t="e">
        <f t="shared" si="46"/>
        <v>#DIV/0!</v>
      </c>
      <c r="H155" s="645" t="e">
        <f t="shared" si="46"/>
        <v>#DIV/0!</v>
      </c>
      <c r="I155" s="645" t="e">
        <f t="shared" si="46"/>
        <v>#DIV/0!</v>
      </c>
      <c r="J155" s="645" t="e">
        <f t="shared" si="46"/>
        <v>#DIV/0!</v>
      </c>
    </row>
    <row r="156" spans="1:10">
      <c r="A156" s="632">
        <f>A155+1</f>
        <v>106</v>
      </c>
      <c r="B156" s="7" t="str">
        <f>"Preferred Stock Capital Shares (Ln "&amp;A151&amp;" / Ln "&amp;A153&amp;")"</f>
        <v>Preferred Stock Capital Shares (Ln 102 / Ln 104)</v>
      </c>
      <c r="C156" s="645" t="e">
        <f t="shared" ref="C156:J156" si="47">C151/C153</f>
        <v>#DIV/0!</v>
      </c>
      <c r="D156" s="645"/>
      <c r="E156" s="645" t="e">
        <f t="shared" si="47"/>
        <v>#DIV/0!</v>
      </c>
      <c r="F156" s="645" t="e">
        <f t="shared" si="47"/>
        <v>#DIV/0!</v>
      </c>
      <c r="G156" s="645" t="e">
        <f t="shared" si="47"/>
        <v>#DIV/0!</v>
      </c>
      <c r="H156" s="645" t="e">
        <f t="shared" si="47"/>
        <v>#DIV/0!</v>
      </c>
      <c r="I156" s="645" t="e">
        <f t="shared" si="47"/>
        <v>#DIV/0!</v>
      </c>
      <c r="J156" s="645" t="e">
        <f t="shared" si="47"/>
        <v>#DIV/0!</v>
      </c>
    </row>
    <row r="157" spans="1:10">
      <c r="A157" s="632">
        <f>A156+1</f>
        <v>107</v>
      </c>
      <c r="B157" s="7" t="str">
        <f>"Common Equity Capital Shares (Ln "&amp;A152&amp;" / Ln "&amp;A153&amp;")"</f>
        <v>Common Equity Capital Shares (Ln 103 / Ln 104)</v>
      </c>
      <c r="C157" s="646" t="e">
        <f t="shared" ref="C157:J157" si="48">C152/C153</f>
        <v>#DIV/0!</v>
      </c>
      <c r="D157" s="646"/>
      <c r="E157" s="646" t="e">
        <f t="shared" si="48"/>
        <v>#DIV/0!</v>
      </c>
      <c r="F157" s="646" t="e">
        <f t="shared" si="48"/>
        <v>#DIV/0!</v>
      </c>
      <c r="G157" s="646" t="e">
        <f t="shared" si="48"/>
        <v>#DIV/0!</v>
      </c>
      <c r="H157" s="646" t="e">
        <f t="shared" si="48"/>
        <v>#DIV/0!</v>
      </c>
      <c r="I157" s="646" t="e">
        <f t="shared" si="48"/>
        <v>#DIV/0!</v>
      </c>
      <c r="J157" s="646" t="e">
        <f t="shared" si="48"/>
        <v>#DIV/0!</v>
      </c>
    </row>
    <row r="158" spans="1:10">
      <c r="B158" s="7"/>
      <c r="C158" s="646"/>
      <c r="D158" s="646"/>
      <c r="E158" s="646"/>
      <c r="F158" s="646"/>
      <c r="G158" s="646"/>
      <c r="H158" s="646"/>
      <c r="I158" s="646"/>
      <c r="J158" s="646"/>
    </row>
    <row r="159" spans="1:10">
      <c r="A159" s="632">
        <f>A157+1</f>
        <v>108</v>
      </c>
      <c r="B159" s="345" t="s">
        <v>556</v>
      </c>
      <c r="C159" s="647"/>
      <c r="D159" s="647"/>
      <c r="E159" s="647"/>
      <c r="F159" s="647"/>
      <c r="G159" s="647"/>
      <c r="H159" s="647"/>
      <c r="I159" s="647"/>
      <c r="J159" s="647"/>
    </row>
    <row r="160" spans="1:10">
      <c r="B160" s="7"/>
      <c r="C160" s="646"/>
      <c r="D160" s="646"/>
      <c r="E160" s="646"/>
      <c r="F160" s="646"/>
      <c r="G160" s="646"/>
      <c r="H160" s="646"/>
      <c r="I160" s="646"/>
      <c r="J160" s="646"/>
    </row>
    <row r="161" spans="1:10">
      <c r="A161" s="632">
        <f>A159+1</f>
        <v>109</v>
      </c>
      <c r="B161" s="345" t="s">
        <v>556</v>
      </c>
      <c r="C161" s="646"/>
      <c r="D161" s="646"/>
      <c r="E161" s="646"/>
      <c r="F161" s="646"/>
      <c r="G161" s="646"/>
      <c r="H161" s="646"/>
      <c r="I161" s="646"/>
      <c r="J161" s="646"/>
    </row>
    <row r="162" spans="1:10">
      <c r="A162" s="632">
        <f>A161+1</f>
        <v>110</v>
      </c>
      <c r="B162" s="345" t="s">
        <v>556</v>
      </c>
      <c r="C162" s="646"/>
      <c r="D162" s="646"/>
      <c r="E162" s="646"/>
      <c r="F162" s="646"/>
      <c r="G162" s="646"/>
      <c r="H162" s="646"/>
      <c r="I162" s="646"/>
      <c r="J162" s="646"/>
    </row>
    <row r="163" spans="1:10">
      <c r="A163" s="632">
        <f>A162+1</f>
        <v>111</v>
      </c>
      <c r="B163" s="345" t="s">
        <v>556</v>
      </c>
      <c r="C163" s="646"/>
      <c r="D163" s="646"/>
      <c r="E163" s="646"/>
      <c r="F163" s="646"/>
      <c r="G163" s="646"/>
      <c r="H163" s="646"/>
      <c r="I163" s="646"/>
      <c r="J163" s="646"/>
    </row>
    <row r="164" spans="1:10">
      <c r="B164" s="7"/>
      <c r="C164" s="645"/>
      <c r="D164" s="645"/>
      <c r="E164" s="645"/>
      <c r="F164" s="645"/>
      <c r="G164" s="645"/>
      <c r="H164" s="645"/>
      <c r="I164" s="645"/>
      <c r="J164" s="645"/>
    </row>
    <row r="165" spans="1:10" ht="15">
      <c r="A165" s="603" t="s">
        <v>527</v>
      </c>
    </row>
    <row r="166" spans="1:10">
      <c r="A166" s="632">
        <f>A163+1</f>
        <v>112</v>
      </c>
      <c r="B166" s="7" t="str">
        <f>"LTD Capital Cost Rate (Ln "&amp;A112&amp;" / Ln "&amp;A101&amp;")"</f>
        <v>LTD Capital Cost Rate (Ln 73 / Ln 65)</v>
      </c>
      <c r="C166" s="645" t="e">
        <f t="shared" ref="C166:J166" si="49">C112/C101</f>
        <v>#DIV/0!</v>
      </c>
      <c r="D166" s="645"/>
      <c r="E166" s="645" t="e">
        <f t="shared" si="49"/>
        <v>#DIV/0!</v>
      </c>
      <c r="F166" s="645" t="e">
        <f t="shared" si="49"/>
        <v>#DIV/0!</v>
      </c>
      <c r="G166" s="645" t="e">
        <f t="shared" si="49"/>
        <v>#DIV/0!</v>
      </c>
      <c r="H166" s="645" t="e">
        <f t="shared" si="49"/>
        <v>#DIV/0!</v>
      </c>
      <c r="I166" s="645" t="e">
        <f t="shared" si="49"/>
        <v>#DIV/0!</v>
      </c>
      <c r="J166" s="645" t="e">
        <f t="shared" si="49"/>
        <v>#DIV/0!</v>
      </c>
    </row>
    <row r="167" spans="1:10">
      <c r="A167" s="632">
        <f>A166+1</f>
        <v>113</v>
      </c>
      <c r="B167" s="7" t="str">
        <f>"Preferred Stock Capital Cost Rate (Ln "&amp;A140&amp;" / Ln "&amp;A139&amp;")"</f>
        <v>Preferred Stock Capital Cost Rate (Ln 95 / Ln 94)</v>
      </c>
      <c r="C167" s="645">
        <f t="shared" ref="C167:J167" si="50">IF(C139=0,0,C140/C139)</f>
        <v>0</v>
      </c>
      <c r="D167" s="645"/>
      <c r="E167" s="645">
        <f t="shared" si="50"/>
        <v>0</v>
      </c>
      <c r="F167" s="645">
        <f t="shared" si="50"/>
        <v>0</v>
      </c>
      <c r="G167" s="645">
        <f t="shared" si="50"/>
        <v>0</v>
      </c>
      <c r="H167" s="645">
        <f t="shared" si="50"/>
        <v>0</v>
      </c>
      <c r="I167" s="645">
        <f t="shared" si="50"/>
        <v>0</v>
      </c>
      <c r="J167" s="645">
        <f t="shared" si="50"/>
        <v>0</v>
      </c>
    </row>
    <row r="168" spans="1:10">
      <c r="A168" s="632">
        <f>A167+1</f>
        <v>114</v>
      </c>
      <c r="B168" s="7" t="s">
        <v>528</v>
      </c>
      <c r="C168" s="645">
        <v>0.1149</v>
      </c>
      <c r="D168" s="645"/>
      <c r="E168" s="645">
        <v>0.1149</v>
      </c>
      <c r="F168" s="645">
        <v>0.1149</v>
      </c>
      <c r="G168" s="645">
        <v>0.1149</v>
      </c>
      <c r="H168" s="645">
        <v>0.1149</v>
      </c>
      <c r="I168" s="645">
        <v>0.1149</v>
      </c>
      <c r="J168" s="645">
        <v>0.1149</v>
      </c>
    </row>
    <row r="170" spans="1:10" ht="15">
      <c r="A170" s="603" t="s">
        <v>529</v>
      </c>
    </row>
    <row r="171" spans="1:10">
      <c r="A171" s="632">
        <f>A168+1</f>
        <v>115</v>
      </c>
      <c r="B171" s="7" t="str">
        <f>"LTD Weighted Capital Cost Rate (Ln "&amp;A155&amp;" * Ln "&amp;A166&amp;")"</f>
        <v>LTD Weighted Capital Cost Rate (Ln 105 * Ln 112)</v>
      </c>
      <c r="C171" s="645" t="e">
        <f>C155*C166</f>
        <v>#DIV/0!</v>
      </c>
      <c r="D171" s="645"/>
      <c r="E171" s="645" t="e">
        <f t="shared" ref="E171:J171" si="51">E155*E166</f>
        <v>#DIV/0!</v>
      </c>
      <c r="F171" s="645" t="e">
        <f t="shared" si="51"/>
        <v>#DIV/0!</v>
      </c>
      <c r="G171" s="645" t="e">
        <f t="shared" si="51"/>
        <v>#DIV/0!</v>
      </c>
      <c r="H171" s="645" t="e">
        <f t="shared" si="51"/>
        <v>#DIV/0!</v>
      </c>
      <c r="I171" s="645" t="e">
        <f t="shared" si="51"/>
        <v>#DIV/0!</v>
      </c>
      <c r="J171" s="645" t="e">
        <f t="shared" si="51"/>
        <v>#DIV/0!</v>
      </c>
    </row>
    <row r="172" spans="1:10">
      <c r="A172" s="632">
        <f>A171+1</f>
        <v>116</v>
      </c>
      <c r="B172" s="7" t="str">
        <f>"Preferred Stock Capital Cost Rate (Ln "&amp;A156&amp;" * Ln "&amp;A167&amp;")"</f>
        <v>Preferred Stock Capital Cost Rate (Ln 106 * Ln 113)</v>
      </c>
      <c r="C172" s="645" t="e">
        <f>C156*C167</f>
        <v>#DIV/0!</v>
      </c>
      <c r="D172" s="645"/>
      <c r="E172" s="645" t="e">
        <f t="shared" ref="E172:J172" si="52">E156*E167</f>
        <v>#DIV/0!</v>
      </c>
      <c r="F172" s="645" t="e">
        <f t="shared" si="52"/>
        <v>#DIV/0!</v>
      </c>
      <c r="G172" s="645" t="e">
        <f t="shared" si="52"/>
        <v>#DIV/0!</v>
      </c>
      <c r="H172" s="645" t="e">
        <f t="shared" si="52"/>
        <v>#DIV/0!</v>
      </c>
      <c r="I172" s="645" t="e">
        <f t="shared" si="52"/>
        <v>#DIV/0!</v>
      </c>
      <c r="J172" s="645" t="e">
        <f t="shared" si="52"/>
        <v>#DIV/0!</v>
      </c>
    </row>
    <row r="173" spans="1:10">
      <c r="A173" s="632">
        <f>A172+1</f>
        <v>117</v>
      </c>
      <c r="B173" s="7" t="str">
        <f>"Common Equity Capital Cost Rate (Ln "&amp;A157&amp;" * Ln "&amp;A168&amp;")"</f>
        <v>Common Equity Capital Cost Rate (Ln 107 * Ln 114)</v>
      </c>
      <c r="C173" s="648" t="e">
        <f>C157*C168</f>
        <v>#DIV/0!</v>
      </c>
      <c r="D173" s="648"/>
      <c r="E173" s="648" t="e">
        <f t="shared" ref="E173:J173" si="53">E157*E168</f>
        <v>#DIV/0!</v>
      </c>
      <c r="F173" s="648" t="e">
        <f t="shared" si="53"/>
        <v>#DIV/0!</v>
      </c>
      <c r="G173" s="648" t="e">
        <f t="shared" si="53"/>
        <v>#DIV/0!</v>
      </c>
      <c r="H173" s="648" t="e">
        <f t="shared" si="53"/>
        <v>#DIV/0!</v>
      </c>
      <c r="I173" s="648" t="e">
        <f t="shared" si="53"/>
        <v>#DIV/0!</v>
      </c>
      <c r="J173" s="648" t="e">
        <f t="shared" si="53"/>
        <v>#DIV/0!</v>
      </c>
    </row>
    <row r="174" spans="1:10">
      <c r="A174" s="632">
        <f>A173+1</f>
        <v>118</v>
      </c>
      <c r="B174" s="638" t="s">
        <v>526</v>
      </c>
      <c r="C174" s="649" t="e">
        <f t="shared" ref="C174:J174" si="54">SUM(C171:C173)</f>
        <v>#DIV/0!</v>
      </c>
      <c r="D174" s="649"/>
      <c r="E174" s="649" t="e">
        <f t="shared" si="54"/>
        <v>#DIV/0!</v>
      </c>
      <c r="F174" s="649" t="e">
        <f t="shared" si="54"/>
        <v>#DIV/0!</v>
      </c>
      <c r="G174" s="649" t="e">
        <f t="shared" si="54"/>
        <v>#DIV/0!</v>
      </c>
      <c r="H174" s="649" t="e">
        <f t="shared" si="54"/>
        <v>#DIV/0!</v>
      </c>
      <c r="I174" s="649" t="e">
        <f t="shared" si="54"/>
        <v>#DIV/0!</v>
      </c>
      <c r="J174" s="649" t="e">
        <f t="shared" si="54"/>
        <v>#DIV/0!</v>
      </c>
    </row>
    <row r="177" spans="1:10">
      <c r="A177" s="1222" t="s">
        <v>505</v>
      </c>
      <c r="B177" s="1222"/>
      <c r="C177" s="1222"/>
      <c r="D177" s="1222"/>
      <c r="E177" s="1222"/>
      <c r="F177" s="1222"/>
      <c r="G177" s="1222"/>
      <c r="H177" s="1222"/>
      <c r="I177" s="1222"/>
      <c r="J177" s="1222"/>
    </row>
    <row r="178" spans="1:10">
      <c r="A178" s="1222" t="s">
        <v>530</v>
      </c>
      <c r="B178" s="1222"/>
      <c r="C178" s="1222"/>
      <c r="D178" s="1222"/>
      <c r="E178" s="1222"/>
      <c r="F178" s="1222"/>
      <c r="G178" s="1222"/>
      <c r="H178" s="1222"/>
      <c r="I178" s="1222"/>
      <c r="J178" s="1222"/>
    </row>
    <row r="179" spans="1:10">
      <c r="A179" s="1222" t="s">
        <v>250</v>
      </c>
      <c r="B179" s="1222"/>
      <c r="C179" s="1222"/>
      <c r="D179" s="1222"/>
      <c r="E179" s="1222"/>
      <c r="F179" s="1222"/>
      <c r="G179" s="1222"/>
      <c r="H179" s="1222"/>
      <c r="I179" s="1222"/>
      <c r="J179" s="1222"/>
    </row>
    <row r="181" spans="1:10" ht="76.5">
      <c r="A181" s="632" t="s">
        <v>459</v>
      </c>
      <c r="C181" s="633" t="s">
        <v>506</v>
      </c>
      <c r="D181" s="633"/>
      <c r="E181" s="633" t="s">
        <v>507</v>
      </c>
      <c r="F181" s="633" t="s">
        <v>508</v>
      </c>
      <c r="G181" s="633" t="s">
        <v>509</v>
      </c>
      <c r="H181" s="633" t="s">
        <v>510</v>
      </c>
      <c r="I181" s="633" t="s">
        <v>511</v>
      </c>
      <c r="J181" s="633" t="s">
        <v>512</v>
      </c>
    </row>
    <row r="182" spans="1:10" ht="15">
      <c r="A182" s="603" t="s">
        <v>531</v>
      </c>
    </row>
    <row r="183" spans="1:10">
      <c r="A183" s="632">
        <f>A174+1</f>
        <v>119</v>
      </c>
      <c r="B183" s="75" t="str">
        <f>"Average Bonds (Ln "&amp;A9&amp;" + Ln "&amp;A96&amp;") / 2"</f>
        <v>Average Bonds (Ln 1 + Ln 60) / 2</v>
      </c>
      <c r="C183" s="591" t="e">
        <f t="shared" ref="C183:I187" si="55">AVERAGE(C9,C96)</f>
        <v>#DIV/0!</v>
      </c>
      <c r="D183" s="591"/>
      <c r="E183" s="591" t="e">
        <f t="shared" si="55"/>
        <v>#DIV/0!</v>
      </c>
      <c r="F183" s="591" t="e">
        <f t="shared" si="55"/>
        <v>#DIV/0!</v>
      </c>
      <c r="G183" s="591" t="e">
        <f t="shared" si="55"/>
        <v>#DIV/0!</v>
      </c>
      <c r="H183" s="591" t="e">
        <f t="shared" si="55"/>
        <v>#DIV/0!</v>
      </c>
      <c r="I183" s="591" t="e">
        <f t="shared" si="55"/>
        <v>#DIV/0!</v>
      </c>
      <c r="J183" s="591" t="e">
        <f>SUM(C183:I183)</f>
        <v>#DIV/0!</v>
      </c>
    </row>
    <row r="184" spans="1:10">
      <c r="A184" s="632">
        <f>A183+1</f>
        <v>120</v>
      </c>
      <c r="B184" s="75" t="str">
        <f>"Less: Average Reacquired Bonds (Ln "&amp;A10&amp;" + Ln "&amp;A97&amp;") / 2"</f>
        <v>Less: Average Reacquired Bonds (Ln 2 + Ln 61) / 2</v>
      </c>
      <c r="C184" s="591" t="e">
        <f t="shared" si="55"/>
        <v>#DIV/0!</v>
      </c>
      <c r="D184" s="591"/>
      <c r="E184" s="591" t="e">
        <f t="shared" si="55"/>
        <v>#DIV/0!</v>
      </c>
      <c r="F184" s="591" t="e">
        <f t="shared" si="55"/>
        <v>#DIV/0!</v>
      </c>
      <c r="G184" s="591" t="e">
        <f t="shared" si="55"/>
        <v>#DIV/0!</v>
      </c>
      <c r="H184" s="591" t="e">
        <f t="shared" si="55"/>
        <v>#DIV/0!</v>
      </c>
      <c r="I184" s="591" t="e">
        <f t="shared" si="55"/>
        <v>#DIV/0!</v>
      </c>
      <c r="J184" s="591" t="e">
        <f>SUM(C184:I184)</f>
        <v>#DIV/0!</v>
      </c>
    </row>
    <row r="185" spans="1:10">
      <c r="A185" s="632">
        <f>A184+1</f>
        <v>121</v>
      </c>
      <c r="B185" s="14" t="str">
        <f>"Average LT Advances from Assoc. Companies (Ln "&amp;A11&amp;" + Ln "&amp;A98&amp;") / 2"</f>
        <v>Average LT Advances from Assoc. Companies (Ln 3 + Ln 62) / 2</v>
      </c>
      <c r="C185" s="591" t="e">
        <f t="shared" si="55"/>
        <v>#DIV/0!</v>
      </c>
      <c r="D185" s="591"/>
      <c r="E185" s="591" t="e">
        <f t="shared" si="55"/>
        <v>#DIV/0!</v>
      </c>
      <c r="F185" s="591" t="e">
        <f t="shared" si="55"/>
        <v>#DIV/0!</v>
      </c>
      <c r="G185" s="591" t="e">
        <f t="shared" si="55"/>
        <v>#DIV/0!</v>
      </c>
      <c r="H185" s="591" t="e">
        <f t="shared" si="55"/>
        <v>#DIV/0!</v>
      </c>
      <c r="I185" s="591" t="e">
        <f t="shared" si="55"/>
        <v>#DIV/0!</v>
      </c>
      <c r="J185" s="591" t="e">
        <f>SUM(C185:I185)</f>
        <v>#DIV/0!</v>
      </c>
    </row>
    <row r="186" spans="1:10">
      <c r="A186" s="632">
        <f>A185+1</f>
        <v>122</v>
      </c>
      <c r="B186" s="14" t="str">
        <f>"Average Senior Unsecured Notes (Ln "&amp;A12&amp;" + Ln "&amp;A99&amp;") / 2"</f>
        <v>Average Senior Unsecured Notes (Ln 4 + Ln 63) / 2</v>
      </c>
      <c r="C186" s="591" t="e">
        <f t="shared" si="55"/>
        <v>#DIV/0!</v>
      </c>
      <c r="D186" s="591"/>
      <c r="E186" s="591" t="e">
        <f t="shared" si="55"/>
        <v>#DIV/0!</v>
      </c>
      <c r="F186" s="591" t="e">
        <f t="shared" si="55"/>
        <v>#DIV/0!</v>
      </c>
      <c r="G186" s="591" t="e">
        <f t="shared" si="55"/>
        <v>#DIV/0!</v>
      </c>
      <c r="H186" s="591" t="e">
        <f t="shared" si="55"/>
        <v>#DIV/0!</v>
      </c>
      <c r="I186" s="591" t="e">
        <f t="shared" si="55"/>
        <v>#DIV/0!</v>
      </c>
      <c r="J186" s="591" t="e">
        <f>SUM(C186:I186)</f>
        <v>#DIV/0!</v>
      </c>
    </row>
    <row r="187" spans="1:10">
      <c r="A187" s="632">
        <f>A186+1</f>
        <v>123</v>
      </c>
      <c r="B187" s="14" t="str">
        <f>"Less: Average Fair Value Hedges (See Note on Ln "&amp;A190&amp;" below)"</f>
        <v>Less: Average Fair Value Hedges (See Note on Ln 125 below)</v>
      </c>
      <c r="C187" s="650" t="e">
        <f t="shared" si="55"/>
        <v>#DIV/0!</v>
      </c>
      <c r="D187" s="650"/>
      <c r="E187" s="650" t="e">
        <f t="shared" si="55"/>
        <v>#DIV/0!</v>
      </c>
      <c r="F187" s="650" t="e">
        <f t="shared" si="55"/>
        <v>#DIV/0!</v>
      </c>
      <c r="G187" s="650" t="e">
        <f t="shared" si="55"/>
        <v>#DIV/0!</v>
      </c>
      <c r="H187" s="650" t="e">
        <f t="shared" si="55"/>
        <v>#DIV/0!</v>
      </c>
      <c r="I187" s="650" t="e">
        <f t="shared" si="55"/>
        <v>#DIV/0!</v>
      </c>
      <c r="J187" s="634" t="e">
        <f>SUM(C187:I187)</f>
        <v>#DIV/0!</v>
      </c>
    </row>
    <row r="188" spans="1:10">
      <c r="A188" s="632">
        <f>A187+1</f>
        <v>124</v>
      </c>
      <c r="B188" s="13" t="s">
        <v>532</v>
      </c>
      <c r="C188" s="635" t="e">
        <f t="shared" ref="C188:J188" si="56">C183-C184+C185+C186-C187</f>
        <v>#DIV/0!</v>
      </c>
      <c r="D188" s="635"/>
      <c r="E188" s="635" t="e">
        <f t="shared" si="56"/>
        <v>#DIV/0!</v>
      </c>
      <c r="F188" s="635" t="e">
        <f t="shared" si="56"/>
        <v>#DIV/0!</v>
      </c>
      <c r="G188" s="635" t="e">
        <f t="shared" si="56"/>
        <v>#DIV/0!</v>
      </c>
      <c r="H188" s="635" t="e">
        <f t="shared" si="56"/>
        <v>#DIV/0!</v>
      </c>
      <c r="I188" s="635" t="e">
        <f t="shared" si="56"/>
        <v>#DIV/0!</v>
      </c>
      <c r="J188" s="635" t="e">
        <f t="shared" si="56"/>
        <v>#DIV/0!</v>
      </c>
    </row>
    <row r="190" spans="1:10">
      <c r="A190" s="632">
        <f>A188+1</f>
        <v>125</v>
      </c>
      <c r="B190" s="1221" t="s">
        <v>57</v>
      </c>
      <c r="C190" s="1221"/>
      <c r="D190" s="1221"/>
      <c r="E190" s="1221"/>
      <c r="F190" s="1221"/>
      <c r="G190" s="1221"/>
      <c r="H190" s="1221"/>
      <c r="I190" s="1221"/>
      <c r="J190" s="1221"/>
    </row>
    <row r="191" spans="1:10">
      <c r="A191" s="651"/>
      <c r="B191" s="636"/>
      <c r="C191" s="636"/>
      <c r="D191" s="636"/>
      <c r="E191" s="636"/>
      <c r="F191" s="636"/>
      <c r="G191" s="636"/>
      <c r="H191" s="636"/>
      <c r="I191" s="636"/>
      <c r="J191" s="636"/>
    </row>
    <row r="192" spans="1:10" ht="15">
      <c r="A192" s="603" t="str">
        <f>"Development of "&amp;TCOS!O3&amp;" Long Term Debt Interest Expense"</f>
        <v>Development of   Long Term Debt Interest Expense</v>
      </c>
    </row>
    <row r="193" spans="1:10">
      <c r="A193" s="632">
        <f>A190+1</f>
        <v>126</v>
      </c>
      <c r="B193" s="14" t="str">
        <f t="shared" ref="B193:I193" si="57">B19</f>
        <v>Interest on Long Term Debt (256-257.33.i)</v>
      </c>
      <c r="C193" s="343">
        <f t="shared" si="57"/>
        <v>0</v>
      </c>
      <c r="D193" s="343"/>
      <c r="E193" s="343">
        <f t="shared" si="57"/>
        <v>0</v>
      </c>
      <c r="F193" s="343">
        <f t="shared" si="57"/>
        <v>0</v>
      </c>
      <c r="G193" s="343">
        <f t="shared" si="57"/>
        <v>0</v>
      </c>
      <c r="H193" s="343">
        <f t="shared" si="57"/>
        <v>0</v>
      </c>
      <c r="I193" s="343">
        <f t="shared" si="57"/>
        <v>0</v>
      </c>
      <c r="J193" s="343">
        <f t="shared" ref="J193:J198" si="58">SUM(C193:I193)</f>
        <v>0</v>
      </c>
    </row>
    <row r="194" spans="1:10">
      <c r="A194" s="632">
        <f t="shared" ref="A194:A199" si="59">A193+1</f>
        <v>127</v>
      </c>
      <c r="B194" s="14" t="str">
        <f t="shared" ref="B194:C198" si="60">B20</f>
        <v>Amort of Debt Discount &amp; Expense (117.63.c)</v>
      </c>
      <c r="C194" s="343">
        <f>C20</f>
        <v>0</v>
      </c>
      <c r="D194" s="343"/>
      <c r="E194" s="343">
        <f t="shared" ref="E194:I195" si="61">E20</f>
        <v>0</v>
      </c>
      <c r="F194" s="343">
        <f t="shared" si="61"/>
        <v>0</v>
      </c>
      <c r="G194" s="343">
        <f t="shared" si="61"/>
        <v>0</v>
      </c>
      <c r="H194" s="343">
        <f t="shared" si="61"/>
        <v>0</v>
      </c>
      <c r="I194" s="343">
        <f t="shared" si="61"/>
        <v>0</v>
      </c>
      <c r="J194" s="343">
        <f t="shared" si="58"/>
        <v>0</v>
      </c>
    </row>
    <row r="195" spans="1:10">
      <c r="A195" s="632">
        <f t="shared" si="59"/>
        <v>128</v>
      </c>
      <c r="B195" s="14" t="str">
        <f t="shared" si="60"/>
        <v>Amort of Loss on Reacquired Debt (117.64.c)</v>
      </c>
      <c r="C195" s="343">
        <f t="shared" si="60"/>
        <v>0</v>
      </c>
      <c r="D195" s="343"/>
      <c r="E195" s="343">
        <f t="shared" si="61"/>
        <v>0</v>
      </c>
      <c r="F195" s="343">
        <f t="shared" si="61"/>
        <v>0</v>
      </c>
      <c r="G195" s="343">
        <f t="shared" si="61"/>
        <v>0</v>
      </c>
      <c r="H195" s="343">
        <f t="shared" si="61"/>
        <v>0</v>
      </c>
      <c r="I195" s="343">
        <f t="shared" si="61"/>
        <v>0</v>
      </c>
      <c r="J195" s="343">
        <f t="shared" si="58"/>
        <v>0</v>
      </c>
    </row>
    <row r="196" spans="1:10">
      <c r="A196" s="632">
        <f t="shared" si="59"/>
        <v>129</v>
      </c>
      <c r="B196" s="14" t="str">
        <f>B22</f>
        <v>Less: Amort of Premium on Debt (117.65.c)</v>
      </c>
      <c r="C196" s="343">
        <f t="shared" ref="C196:I196" si="62">C22</f>
        <v>0</v>
      </c>
      <c r="D196" s="343"/>
      <c r="E196" s="343">
        <f t="shared" si="62"/>
        <v>0</v>
      </c>
      <c r="F196" s="343">
        <f t="shared" si="62"/>
        <v>0</v>
      </c>
      <c r="G196" s="343">
        <f t="shared" si="62"/>
        <v>0</v>
      </c>
      <c r="H196" s="343">
        <f t="shared" si="62"/>
        <v>0</v>
      </c>
      <c r="I196" s="343">
        <f t="shared" si="62"/>
        <v>0</v>
      </c>
      <c r="J196" s="591">
        <f t="shared" si="58"/>
        <v>0</v>
      </c>
    </row>
    <row r="197" spans="1:10">
      <c r="A197" s="632">
        <f t="shared" si="59"/>
        <v>130</v>
      </c>
      <c r="B197" s="14" t="str">
        <f t="shared" si="60"/>
        <v>Less: Amort of Gain on Reacquired Debt (117.66.c)</v>
      </c>
      <c r="C197" s="343">
        <f>C23</f>
        <v>0</v>
      </c>
      <c r="D197" s="343"/>
      <c r="E197" s="343">
        <f t="shared" ref="E197:I198" si="63">E23</f>
        <v>0</v>
      </c>
      <c r="F197" s="343">
        <f t="shared" si="63"/>
        <v>0</v>
      </c>
      <c r="G197" s="343">
        <f t="shared" si="63"/>
        <v>0</v>
      </c>
      <c r="H197" s="343">
        <f t="shared" si="63"/>
        <v>0</v>
      </c>
      <c r="I197" s="343">
        <f t="shared" si="63"/>
        <v>0</v>
      </c>
      <c r="J197" s="591">
        <f t="shared" si="58"/>
        <v>0</v>
      </c>
    </row>
    <row r="198" spans="1:10">
      <c r="A198" s="632">
        <f t="shared" si="59"/>
        <v>131</v>
      </c>
      <c r="B198" s="14" t="str">
        <f t="shared" si="60"/>
        <v>Less: Hedge Interest on pp 256-257(i)</v>
      </c>
      <c r="C198" s="650">
        <f>C24</f>
        <v>0</v>
      </c>
      <c r="D198" s="650"/>
      <c r="E198" s="650">
        <f t="shared" si="63"/>
        <v>0</v>
      </c>
      <c r="F198" s="650">
        <f t="shared" si="63"/>
        <v>0</v>
      </c>
      <c r="G198" s="650">
        <f t="shared" si="63"/>
        <v>0</v>
      </c>
      <c r="H198" s="650">
        <f t="shared" si="63"/>
        <v>0</v>
      </c>
      <c r="I198" s="650">
        <f t="shared" si="63"/>
        <v>0</v>
      </c>
      <c r="J198" s="634">
        <f t="shared" si="58"/>
        <v>0</v>
      </c>
    </row>
    <row r="199" spans="1:10">
      <c r="A199" s="632">
        <f t="shared" si="59"/>
        <v>132</v>
      </c>
      <c r="B199" s="652" t="str">
        <f>""&amp;TCOS!O3&amp;" LTD Interest Expense"</f>
        <v xml:space="preserve">  LTD Interest Expense</v>
      </c>
      <c r="C199" s="639">
        <f t="shared" ref="C199:J199" si="64">C193+C194+C195-C196-C197-C198</f>
        <v>0</v>
      </c>
      <c r="D199" s="639"/>
      <c r="E199" s="639">
        <f t="shared" si="64"/>
        <v>0</v>
      </c>
      <c r="F199" s="639">
        <f t="shared" si="64"/>
        <v>0</v>
      </c>
      <c r="G199" s="639">
        <f t="shared" si="64"/>
        <v>0</v>
      </c>
      <c r="H199" s="639">
        <f t="shared" si="64"/>
        <v>0</v>
      </c>
      <c r="I199" s="639">
        <f t="shared" si="64"/>
        <v>0</v>
      </c>
      <c r="J199" s="639">
        <f t="shared" si="64"/>
        <v>0</v>
      </c>
    </row>
    <row r="201" spans="1:10" ht="15">
      <c r="A201" s="603" t="str">
        <f>""&amp;TCOS!O3&amp;" Cost of Preferred Stock and Preferred Dividends"</f>
        <v xml:space="preserve">  Cost of Preferred Stock and Preferred Dividends</v>
      </c>
      <c r="B201" s="640"/>
      <c r="C201" s="640"/>
      <c r="D201" s="640"/>
      <c r="E201" s="640"/>
    </row>
    <row r="202" spans="1:10">
      <c r="A202" s="632">
        <f>A199+1</f>
        <v>133</v>
      </c>
      <c r="B202" s="7" t="str">
        <f>"Average Balance of Preferred Stock (Ln "&amp;A52&amp;" + Ln "&amp;A139&amp;") / 2"</f>
        <v>Average Balance of Preferred Stock (Ln 35 + Ln 94) / 2</v>
      </c>
      <c r="C202" s="639">
        <f>AVERAGE(C52,C139)</f>
        <v>0</v>
      </c>
      <c r="D202" s="639"/>
      <c r="E202" s="639">
        <f t="shared" ref="E202:J202" si="65">AVERAGE(E52,E139)</f>
        <v>0</v>
      </c>
      <c r="F202" s="639">
        <f t="shared" si="65"/>
        <v>0</v>
      </c>
      <c r="G202" s="639">
        <f t="shared" si="65"/>
        <v>0</v>
      </c>
      <c r="H202" s="639">
        <f t="shared" si="65"/>
        <v>0</v>
      </c>
      <c r="I202" s="639">
        <f t="shared" si="65"/>
        <v>0</v>
      </c>
      <c r="J202" s="639">
        <f t="shared" si="65"/>
        <v>0</v>
      </c>
    </row>
    <row r="203" spans="1:10">
      <c r="A203" s="632">
        <f>A202+1</f>
        <v>134</v>
      </c>
      <c r="B203" s="7" t="str">
        <f>""&amp;TCOS!O3&amp;" Preferred Dividends (Ln "&amp;A53&amp;")"</f>
        <v xml:space="preserve">  Preferred Dividends (Ln 36)</v>
      </c>
      <c r="C203" s="639">
        <f>C53</f>
        <v>0</v>
      </c>
      <c r="D203" s="639"/>
      <c r="E203" s="639">
        <f t="shared" ref="E203:J203" si="66">E53</f>
        <v>0</v>
      </c>
      <c r="F203" s="639">
        <f t="shared" si="66"/>
        <v>0</v>
      </c>
      <c r="G203" s="639">
        <f t="shared" si="66"/>
        <v>0</v>
      </c>
      <c r="H203" s="639">
        <f t="shared" si="66"/>
        <v>0</v>
      </c>
      <c r="I203" s="639">
        <f t="shared" si="66"/>
        <v>0</v>
      </c>
      <c r="J203" s="639">
        <f t="shared" si="66"/>
        <v>0</v>
      </c>
    </row>
    <row r="204" spans="1:10">
      <c r="B204" s="651"/>
    </row>
    <row r="205" spans="1:10" ht="15">
      <c r="A205" s="603" t="s">
        <v>533</v>
      </c>
    </row>
    <row r="206" spans="1:10">
      <c r="A206" s="632">
        <f>A203+1</f>
        <v>135</v>
      </c>
      <c r="B206" s="453" t="str">
        <f>"Average Proprietary Capital (Ln "&amp;A56&amp;" + Ln "&amp;A143&amp;") / 2"</f>
        <v>Average Proprietary Capital (Ln 37 + Ln 96) / 2</v>
      </c>
      <c r="C206" s="343" t="e">
        <f t="shared" ref="C206:I206" si="67">AVERAGE(C56,C143)</f>
        <v>#DIV/0!</v>
      </c>
      <c r="D206" s="343"/>
      <c r="E206" s="343" t="e">
        <f t="shared" si="67"/>
        <v>#DIV/0!</v>
      </c>
      <c r="F206" s="343" t="e">
        <f t="shared" si="67"/>
        <v>#DIV/0!</v>
      </c>
      <c r="G206" s="343" t="e">
        <f t="shared" si="67"/>
        <v>#DIV/0!</v>
      </c>
      <c r="H206" s="343" t="e">
        <f t="shared" si="67"/>
        <v>#DIV/0!</v>
      </c>
      <c r="I206" s="343" t="e">
        <f t="shared" si="67"/>
        <v>#DIV/0!</v>
      </c>
      <c r="J206" s="639" t="e">
        <f>SUM(C206:I206)</f>
        <v>#DIV/0!</v>
      </c>
    </row>
    <row r="207" spans="1:10">
      <c r="A207" s="632">
        <f>A206+1</f>
        <v>136</v>
      </c>
      <c r="B207" s="453" t="str">
        <f>"Less: Average Preferred Stock (Ln "&amp;A202&amp;" Above)"</f>
        <v>Less: Average Preferred Stock (Ln 133 Above)</v>
      </c>
      <c r="C207" s="343">
        <f t="shared" ref="C207:H207" si="68">C202</f>
        <v>0</v>
      </c>
      <c r="D207" s="343"/>
      <c r="E207" s="343">
        <f t="shared" si="68"/>
        <v>0</v>
      </c>
      <c r="F207" s="343">
        <f t="shared" si="68"/>
        <v>0</v>
      </c>
      <c r="G207" s="343">
        <f t="shared" si="68"/>
        <v>0</v>
      </c>
      <c r="H207" s="343">
        <f t="shared" si="68"/>
        <v>0</v>
      </c>
      <c r="I207" s="343">
        <f>I202</f>
        <v>0</v>
      </c>
      <c r="J207" s="639">
        <f>SUM(C207:I207)</f>
        <v>0</v>
      </c>
    </row>
    <row r="208" spans="1:10">
      <c r="A208" s="632">
        <f>A207+1</f>
        <v>137</v>
      </c>
      <c r="B208" s="453" t="str">
        <f>"Less: Average Account 216.1 (Ln "&amp;A58&amp;" + Ln "&amp;A145&amp;") / 2"</f>
        <v>Less: Average Account 216.1 (Ln 39 + Ln 98) / 2</v>
      </c>
      <c r="C208" s="343" t="e">
        <f t="shared" ref="C208:I209" si="69">AVERAGE(C58,C145)</f>
        <v>#DIV/0!</v>
      </c>
      <c r="D208" s="343"/>
      <c r="E208" s="343" t="e">
        <f t="shared" si="69"/>
        <v>#DIV/0!</v>
      </c>
      <c r="F208" s="343" t="e">
        <f t="shared" si="69"/>
        <v>#DIV/0!</v>
      </c>
      <c r="G208" s="343" t="e">
        <f t="shared" si="69"/>
        <v>#DIV/0!</v>
      </c>
      <c r="H208" s="343" t="e">
        <f t="shared" si="69"/>
        <v>#DIV/0!</v>
      </c>
      <c r="I208" s="343" t="e">
        <f t="shared" si="69"/>
        <v>#DIV/0!</v>
      </c>
      <c r="J208" s="639" t="e">
        <f>SUM(C208:I208)</f>
        <v>#DIV/0!</v>
      </c>
    </row>
    <row r="209" spans="1:12">
      <c r="A209" s="632">
        <f>A208+1</f>
        <v>138</v>
      </c>
      <c r="B209" s="453" t="str">
        <f>"Less: Average Account 219.1 (Ln "&amp;A59&amp;" + Ln "&amp;A146&amp;") / 2"</f>
        <v>Less: Average Account 219.1 (Ln 40 + Ln 99) / 2</v>
      </c>
      <c r="C209" s="650" t="e">
        <f t="shared" si="69"/>
        <v>#DIV/0!</v>
      </c>
      <c r="D209" s="650"/>
      <c r="E209" s="650" t="e">
        <f t="shared" si="69"/>
        <v>#DIV/0!</v>
      </c>
      <c r="F209" s="650" t="e">
        <f t="shared" si="69"/>
        <v>#DIV/0!</v>
      </c>
      <c r="G209" s="650" t="e">
        <f t="shared" si="69"/>
        <v>#DIV/0!</v>
      </c>
      <c r="H209" s="650" t="e">
        <f t="shared" si="69"/>
        <v>#DIV/0!</v>
      </c>
      <c r="I209" s="650" t="e">
        <f t="shared" si="69"/>
        <v>#DIV/0!</v>
      </c>
      <c r="J209" s="644" t="e">
        <f>SUM(C209:I209)</f>
        <v>#DIV/0!</v>
      </c>
    </row>
    <row r="210" spans="1:12">
      <c r="A210" s="632">
        <f>A209+1</f>
        <v>139</v>
      </c>
      <c r="B210" s="457" t="s">
        <v>331</v>
      </c>
      <c r="C210" s="591" t="e">
        <f t="shared" ref="C210:J210" si="70">C206-C207-C208-C209</f>
        <v>#DIV/0!</v>
      </c>
      <c r="D210" s="591"/>
      <c r="E210" s="591" t="e">
        <f t="shared" si="70"/>
        <v>#DIV/0!</v>
      </c>
      <c r="F210" s="591" t="e">
        <f t="shared" si="70"/>
        <v>#DIV/0!</v>
      </c>
      <c r="G210" s="591" t="e">
        <f t="shared" si="70"/>
        <v>#DIV/0!</v>
      </c>
      <c r="H210" s="591" t="e">
        <f t="shared" si="70"/>
        <v>#DIV/0!</v>
      </c>
      <c r="I210" s="591" t="e">
        <f t="shared" si="70"/>
        <v>#DIV/0!</v>
      </c>
      <c r="J210" s="591" t="e">
        <f t="shared" si="70"/>
        <v>#DIV/0!</v>
      </c>
    </row>
    <row r="212" spans="1:12" ht="15">
      <c r="A212" s="603" t="s">
        <v>525</v>
      </c>
    </row>
    <row r="213" spans="1:12">
      <c r="A213" s="632">
        <f>A210+1</f>
        <v>140</v>
      </c>
      <c r="B213" s="7" t="str">
        <f>"Average Balance of Long Term Debt (Ln "&amp;A188&amp;" Above)"</f>
        <v>Average Balance of Long Term Debt (Ln 124 Above)</v>
      </c>
      <c r="C213" s="639" t="e">
        <f t="shared" ref="C213:J213" si="71">C188</f>
        <v>#DIV/0!</v>
      </c>
      <c r="D213" s="639"/>
      <c r="E213" s="639" t="e">
        <f t="shared" si="71"/>
        <v>#DIV/0!</v>
      </c>
      <c r="F213" s="639" t="e">
        <f t="shared" si="71"/>
        <v>#DIV/0!</v>
      </c>
      <c r="G213" s="639" t="e">
        <f t="shared" si="71"/>
        <v>#DIV/0!</v>
      </c>
      <c r="H213" s="639" t="e">
        <f t="shared" si="71"/>
        <v>#DIV/0!</v>
      </c>
      <c r="I213" s="639" t="e">
        <f t="shared" si="71"/>
        <v>#DIV/0!</v>
      </c>
      <c r="J213" s="639" t="e">
        <f t="shared" si="71"/>
        <v>#DIV/0!</v>
      </c>
    </row>
    <row r="214" spans="1:12">
      <c r="A214" s="632">
        <f>A213+1</f>
        <v>141</v>
      </c>
      <c r="B214" s="7" t="str">
        <f>"Average Balance of Preferred Stock (Ln "&amp;A202&amp;" Above)"</f>
        <v>Average Balance of Preferred Stock (Ln 133 Above)</v>
      </c>
      <c r="C214" s="639">
        <f t="shared" ref="C214:J214" si="72">C202</f>
        <v>0</v>
      </c>
      <c r="D214" s="639"/>
      <c r="E214" s="639">
        <f t="shared" si="72"/>
        <v>0</v>
      </c>
      <c r="F214" s="639">
        <f t="shared" si="72"/>
        <v>0</v>
      </c>
      <c r="G214" s="639">
        <f t="shared" si="72"/>
        <v>0</v>
      </c>
      <c r="H214" s="639">
        <f t="shared" si="72"/>
        <v>0</v>
      </c>
      <c r="I214" s="639">
        <f t="shared" si="72"/>
        <v>0</v>
      </c>
      <c r="J214" s="639">
        <f t="shared" si="72"/>
        <v>0</v>
      </c>
    </row>
    <row r="215" spans="1:12">
      <c r="A215" s="632">
        <f>A214+1</f>
        <v>142</v>
      </c>
      <c r="B215" s="7" t="str">
        <f>"Average Balance of Common Equity (Ln "&amp;A210&amp;" Above)"</f>
        <v>Average Balance of Common Equity (Ln 139 Above)</v>
      </c>
      <c r="C215" s="644" t="e">
        <f t="shared" ref="C215:J215" si="73">C210</f>
        <v>#DIV/0!</v>
      </c>
      <c r="D215" s="644"/>
      <c r="E215" s="644" t="e">
        <f t="shared" si="73"/>
        <v>#DIV/0!</v>
      </c>
      <c r="F215" s="644" t="e">
        <f t="shared" si="73"/>
        <v>#DIV/0!</v>
      </c>
      <c r="G215" s="644" t="e">
        <f t="shared" si="73"/>
        <v>#DIV/0!</v>
      </c>
      <c r="H215" s="644" t="e">
        <f t="shared" si="73"/>
        <v>#DIV/0!</v>
      </c>
      <c r="I215" s="644" t="e">
        <f t="shared" si="73"/>
        <v>#DIV/0!</v>
      </c>
      <c r="J215" s="644" t="e">
        <f t="shared" si="73"/>
        <v>#DIV/0!</v>
      </c>
    </row>
    <row r="216" spans="1:12">
      <c r="A216" s="632">
        <f>A215+1</f>
        <v>143</v>
      </c>
      <c r="B216" s="632" t="s">
        <v>534</v>
      </c>
      <c r="C216" s="639" t="e">
        <f t="shared" ref="C216:J216" si="74">SUM(C213:C215)</f>
        <v>#DIV/0!</v>
      </c>
      <c r="D216" s="639"/>
      <c r="E216" s="639" t="e">
        <f t="shared" si="74"/>
        <v>#DIV/0!</v>
      </c>
      <c r="F216" s="639" t="e">
        <f t="shared" si="74"/>
        <v>#DIV/0!</v>
      </c>
      <c r="G216" s="639" t="e">
        <f t="shared" si="74"/>
        <v>#DIV/0!</v>
      </c>
      <c r="H216" s="639" t="e">
        <f t="shared" si="74"/>
        <v>#DIV/0!</v>
      </c>
      <c r="I216" s="639" t="e">
        <f t="shared" si="74"/>
        <v>#DIV/0!</v>
      </c>
      <c r="J216" s="639" t="e">
        <f t="shared" si="74"/>
        <v>#DIV/0!</v>
      </c>
      <c r="L216" s="653"/>
    </row>
    <row r="218" spans="1:12">
      <c r="A218" s="632">
        <f>A216+1</f>
        <v>144</v>
      </c>
      <c r="B218" s="7" t="str">
        <f>"Average Balance of LTD Capital Shares (Ln "&amp;A213&amp;" / Ln "&amp;A216&amp;")"</f>
        <v>Average Balance of LTD Capital Shares (Ln 140 / Ln 143)</v>
      </c>
      <c r="C218" s="645" t="e">
        <f t="shared" ref="C218:I218" si="75">C213/C216</f>
        <v>#DIV/0!</v>
      </c>
      <c r="D218" s="645"/>
      <c r="E218" s="645" t="e">
        <f t="shared" si="75"/>
        <v>#DIV/0!</v>
      </c>
      <c r="F218" s="645" t="e">
        <f t="shared" si="75"/>
        <v>#DIV/0!</v>
      </c>
      <c r="G218" s="645" t="e">
        <f t="shared" si="75"/>
        <v>#DIV/0!</v>
      </c>
      <c r="H218" s="645" t="e">
        <f t="shared" si="75"/>
        <v>#DIV/0!</v>
      </c>
      <c r="I218" s="645" t="e">
        <f t="shared" si="75"/>
        <v>#DIV/0!</v>
      </c>
      <c r="J218" s="645" t="e">
        <f>J213/J216</f>
        <v>#DIV/0!</v>
      </c>
    </row>
    <row r="219" spans="1:12">
      <c r="A219" s="632">
        <f>A218+1</f>
        <v>145</v>
      </c>
      <c r="B219" s="7" t="str">
        <f>"Average Balance of Preferred Stock Capital Shares (Ln "&amp;A214&amp;" / Ln "&amp;A216&amp;")"</f>
        <v>Average Balance of Preferred Stock Capital Shares (Ln 141 / Ln 143)</v>
      </c>
      <c r="C219" s="645" t="e">
        <f t="shared" ref="C219:I219" si="76">C214/C216</f>
        <v>#DIV/0!</v>
      </c>
      <c r="D219" s="645"/>
      <c r="E219" s="645" t="e">
        <f t="shared" si="76"/>
        <v>#DIV/0!</v>
      </c>
      <c r="F219" s="645" t="e">
        <f t="shared" si="76"/>
        <v>#DIV/0!</v>
      </c>
      <c r="G219" s="645" t="e">
        <f t="shared" si="76"/>
        <v>#DIV/0!</v>
      </c>
      <c r="H219" s="645" t="e">
        <f t="shared" si="76"/>
        <v>#DIV/0!</v>
      </c>
      <c r="I219" s="645" t="e">
        <f t="shared" si="76"/>
        <v>#DIV/0!</v>
      </c>
      <c r="J219" s="645" t="e">
        <f>J214/J216</f>
        <v>#DIV/0!</v>
      </c>
    </row>
    <row r="220" spans="1:12">
      <c r="A220" s="632">
        <f>A219+1</f>
        <v>146</v>
      </c>
      <c r="B220" s="7" t="str">
        <f>"Average Balance of Common Equity Capital Shares (Ln "&amp;A215&amp;" / Ln "&amp;A216&amp;")"</f>
        <v>Average Balance of Common Equity Capital Shares (Ln 142 / Ln 143)</v>
      </c>
      <c r="C220" s="646" t="e">
        <f t="shared" ref="C220:I220" si="77">C215/C216</f>
        <v>#DIV/0!</v>
      </c>
      <c r="D220" s="646"/>
      <c r="E220" s="646" t="e">
        <f t="shared" si="77"/>
        <v>#DIV/0!</v>
      </c>
      <c r="F220" s="646" t="e">
        <f t="shared" si="77"/>
        <v>#DIV/0!</v>
      </c>
      <c r="G220" s="646" t="e">
        <f t="shared" si="77"/>
        <v>#DIV/0!</v>
      </c>
      <c r="H220" s="646" t="e">
        <f t="shared" si="77"/>
        <v>#DIV/0!</v>
      </c>
      <c r="I220" s="646" t="e">
        <f t="shared" si="77"/>
        <v>#DIV/0!</v>
      </c>
      <c r="J220" s="646" t="e">
        <f>J215/J216</f>
        <v>#DIV/0!</v>
      </c>
    </row>
    <row r="221" spans="1:12">
      <c r="B221" s="7"/>
      <c r="C221" s="646"/>
      <c r="D221" s="646"/>
      <c r="E221" s="646"/>
      <c r="F221" s="646"/>
      <c r="G221" s="646"/>
      <c r="H221" s="646"/>
      <c r="I221" s="646"/>
      <c r="J221" s="646"/>
    </row>
    <row r="222" spans="1:12">
      <c r="A222" s="632">
        <f>A220+1</f>
        <v>147</v>
      </c>
      <c r="B222" s="345" t="s">
        <v>556</v>
      </c>
      <c r="C222" s="646"/>
      <c r="D222" s="646"/>
      <c r="E222" s="646"/>
      <c r="F222" s="646"/>
      <c r="G222" s="646"/>
      <c r="H222" s="646"/>
      <c r="I222" s="646"/>
      <c r="J222" s="646"/>
    </row>
    <row r="223" spans="1:12">
      <c r="B223" s="7"/>
      <c r="C223" s="646"/>
      <c r="D223" s="646"/>
      <c r="E223" s="646"/>
      <c r="F223" s="646"/>
      <c r="G223" s="646"/>
      <c r="H223" s="646"/>
      <c r="I223" s="646"/>
      <c r="J223" s="646"/>
    </row>
    <row r="224" spans="1:12">
      <c r="A224" s="632">
        <f>A222+1</f>
        <v>148</v>
      </c>
      <c r="B224" s="345" t="s">
        <v>556</v>
      </c>
      <c r="C224" s="646"/>
      <c r="D224" s="646"/>
      <c r="E224" s="646"/>
      <c r="F224" s="646"/>
      <c r="G224" s="646"/>
      <c r="H224" s="646"/>
      <c r="I224" s="646"/>
      <c r="J224" s="646"/>
    </row>
    <row r="225" spans="1:10">
      <c r="A225" s="632">
        <f>A224+1</f>
        <v>149</v>
      </c>
      <c r="B225" s="345" t="s">
        <v>556</v>
      </c>
      <c r="C225" s="646"/>
      <c r="D225" s="646"/>
      <c r="E225" s="646"/>
      <c r="F225" s="646"/>
      <c r="G225" s="646"/>
      <c r="H225" s="646"/>
      <c r="I225" s="646"/>
      <c r="J225" s="646"/>
    </row>
    <row r="226" spans="1:10">
      <c r="A226" s="632">
        <f>A225+1</f>
        <v>150</v>
      </c>
      <c r="B226" s="345" t="s">
        <v>556</v>
      </c>
      <c r="C226" s="646"/>
      <c r="D226" s="646"/>
      <c r="E226" s="646"/>
      <c r="F226" s="646"/>
      <c r="G226" s="646"/>
      <c r="H226" s="646"/>
      <c r="I226" s="646"/>
      <c r="J226" s="646"/>
    </row>
    <row r="227" spans="1:10">
      <c r="B227" s="7"/>
      <c r="C227" s="646"/>
      <c r="D227" s="646"/>
      <c r="E227" s="646"/>
      <c r="F227" s="646"/>
      <c r="G227" s="646"/>
      <c r="H227" s="646"/>
      <c r="I227" s="646"/>
      <c r="J227" s="646"/>
    </row>
    <row r="228" spans="1:10" ht="15">
      <c r="A228" s="603" t="s">
        <v>527</v>
      </c>
    </row>
    <row r="229" spans="1:10">
      <c r="A229" s="632">
        <f>A226+1</f>
        <v>151</v>
      </c>
      <c r="B229" s="7" t="str">
        <f>"LTD Capital Cost Rate (Ln "&amp;A199&amp;" / Ln "&amp;A188&amp;")"</f>
        <v>LTD Capital Cost Rate (Ln 132 / Ln 124)</v>
      </c>
      <c r="C229" s="646" t="e">
        <f t="shared" ref="C229:J229" si="78">C199/C188</f>
        <v>#DIV/0!</v>
      </c>
      <c r="D229" s="646"/>
      <c r="E229" s="646" t="e">
        <f t="shared" si="78"/>
        <v>#DIV/0!</v>
      </c>
      <c r="F229" s="646" t="e">
        <f t="shared" si="78"/>
        <v>#DIV/0!</v>
      </c>
      <c r="G229" s="646" t="e">
        <f t="shared" si="78"/>
        <v>#DIV/0!</v>
      </c>
      <c r="H229" s="646" t="e">
        <f t="shared" si="78"/>
        <v>#DIV/0!</v>
      </c>
      <c r="I229" s="646" t="e">
        <f t="shared" si="78"/>
        <v>#DIV/0!</v>
      </c>
      <c r="J229" s="646" t="e">
        <f t="shared" si="78"/>
        <v>#DIV/0!</v>
      </c>
    </row>
    <row r="230" spans="1:10">
      <c r="A230" s="632">
        <f>A229+1</f>
        <v>152</v>
      </c>
      <c r="B230" s="7" t="str">
        <f>"Preferred Stock Capital Cost Rate (Ln "&amp;A203&amp;" / Ln "&amp;A202&amp;")"</f>
        <v>Preferred Stock Capital Cost Rate (Ln 134 / Ln 133)</v>
      </c>
      <c r="C230" s="646">
        <f t="shared" ref="C230:J230" si="79">IF(C202=0,0,C203/C202)</f>
        <v>0</v>
      </c>
      <c r="D230" s="646"/>
      <c r="E230" s="646">
        <f t="shared" si="79"/>
        <v>0</v>
      </c>
      <c r="F230" s="646">
        <f t="shared" si="79"/>
        <v>0</v>
      </c>
      <c r="G230" s="646">
        <f t="shared" si="79"/>
        <v>0</v>
      </c>
      <c r="H230" s="646">
        <f t="shared" si="79"/>
        <v>0</v>
      </c>
      <c r="I230" s="646">
        <f t="shared" si="79"/>
        <v>0</v>
      </c>
      <c r="J230" s="646">
        <f t="shared" si="79"/>
        <v>0</v>
      </c>
    </row>
    <row r="231" spans="1:10">
      <c r="A231" s="632">
        <f>A230+1</f>
        <v>153</v>
      </c>
      <c r="B231" s="7" t="s">
        <v>528</v>
      </c>
      <c r="C231" s="646">
        <v>0.1149</v>
      </c>
      <c r="D231" s="646"/>
      <c r="E231" s="646">
        <v>0.1149</v>
      </c>
      <c r="F231" s="646">
        <v>0.1149</v>
      </c>
      <c r="G231" s="646">
        <v>0.1149</v>
      </c>
      <c r="H231" s="646">
        <v>0.1149</v>
      </c>
      <c r="I231" s="646">
        <v>0.1149</v>
      </c>
      <c r="J231" s="646">
        <v>0.1149</v>
      </c>
    </row>
    <row r="233" spans="1:10" ht="15">
      <c r="A233" s="603" t="s">
        <v>529</v>
      </c>
    </row>
    <row r="234" spans="1:10">
      <c r="A234" s="632">
        <f>A231+1</f>
        <v>154</v>
      </c>
      <c r="B234" s="7" t="str">
        <f>"LTD Weighted Capital Cost Rate (Ln "&amp;A218&amp;" * Ln "&amp;A229&amp;")"</f>
        <v>LTD Weighted Capital Cost Rate (Ln 144 * Ln 151)</v>
      </c>
      <c r="C234" s="646" t="e">
        <f>C218*C229</f>
        <v>#DIV/0!</v>
      </c>
      <c r="D234" s="646"/>
      <c r="E234" s="646" t="e">
        <f t="shared" ref="E234:J234" si="80">E218*E229</f>
        <v>#DIV/0!</v>
      </c>
      <c r="F234" s="646" t="e">
        <f t="shared" si="80"/>
        <v>#DIV/0!</v>
      </c>
      <c r="G234" s="646" t="e">
        <f t="shared" si="80"/>
        <v>#DIV/0!</v>
      </c>
      <c r="H234" s="646" t="e">
        <f t="shared" si="80"/>
        <v>#DIV/0!</v>
      </c>
      <c r="I234" s="646" t="e">
        <f t="shared" si="80"/>
        <v>#DIV/0!</v>
      </c>
      <c r="J234" s="646" t="e">
        <f t="shared" si="80"/>
        <v>#DIV/0!</v>
      </c>
    </row>
    <row r="235" spans="1:10">
      <c r="A235" s="632">
        <f>A234+1</f>
        <v>155</v>
      </c>
      <c r="B235" s="7" t="str">
        <f>"Preferred Stock Capital Cost Rate (Ln "&amp;A219&amp;" * Ln "&amp;A230&amp;")"</f>
        <v>Preferred Stock Capital Cost Rate (Ln 145 * Ln 152)</v>
      </c>
      <c r="C235" s="646" t="e">
        <f>C219*C230</f>
        <v>#DIV/0!</v>
      </c>
      <c r="D235" s="646"/>
      <c r="E235" s="646" t="e">
        <f t="shared" ref="E235:J235" si="81">E219*E230</f>
        <v>#DIV/0!</v>
      </c>
      <c r="F235" s="646" t="e">
        <f t="shared" si="81"/>
        <v>#DIV/0!</v>
      </c>
      <c r="G235" s="646" t="e">
        <f t="shared" si="81"/>
        <v>#DIV/0!</v>
      </c>
      <c r="H235" s="646" t="e">
        <f t="shared" si="81"/>
        <v>#DIV/0!</v>
      </c>
      <c r="I235" s="646" t="e">
        <f t="shared" si="81"/>
        <v>#DIV/0!</v>
      </c>
      <c r="J235" s="646" t="e">
        <f t="shared" si="81"/>
        <v>#DIV/0!</v>
      </c>
    </row>
    <row r="236" spans="1:10">
      <c r="A236" s="632">
        <f>A235+1</f>
        <v>156</v>
      </c>
      <c r="B236" s="7" t="str">
        <f>"Common Equity Capital Cost Rate (Ln "&amp;A220&amp;" * Ln "&amp;A231&amp;")"</f>
        <v>Common Equity Capital Cost Rate (Ln 146 * Ln 153)</v>
      </c>
      <c r="C236" s="654" t="e">
        <f>C220*C231</f>
        <v>#DIV/0!</v>
      </c>
      <c r="D236" s="654"/>
      <c r="E236" s="654" t="e">
        <f t="shared" ref="E236:J236" si="82">E220*E231</f>
        <v>#DIV/0!</v>
      </c>
      <c r="F236" s="654" t="e">
        <f t="shared" si="82"/>
        <v>#DIV/0!</v>
      </c>
      <c r="G236" s="654" t="e">
        <f t="shared" si="82"/>
        <v>#DIV/0!</v>
      </c>
      <c r="H236" s="654" t="e">
        <f t="shared" si="82"/>
        <v>#DIV/0!</v>
      </c>
      <c r="I236" s="654" t="e">
        <f t="shared" si="82"/>
        <v>#DIV/0!</v>
      </c>
      <c r="J236" s="654" t="e">
        <f t="shared" si="82"/>
        <v>#DIV/0!</v>
      </c>
    </row>
    <row r="237" spans="1:10">
      <c r="A237" s="632">
        <f>A236+1</f>
        <v>157</v>
      </c>
      <c r="B237" s="652" t="s">
        <v>61</v>
      </c>
      <c r="C237" s="655" t="e">
        <f t="shared" ref="C237:J237" si="83">SUM(C234:C236)</f>
        <v>#DIV/0!</v>
      </c>
      <c r="D237" s="655"/>
      <c r="E237" s="655" t="e">
        <f t="shared" si="83"/>
        <v>#DIV/0!</v>
      </c>
      <c r="F237" s="655" t="e">
        <f t="shared" si="83"/>
        <v>#DIV/0!</v>
      </c>
      <c r="G237" s="655" t="e">
        <f t="shared" si="83"/>
        <v>#DIV/0!</v>
      </c>
      <c r="H237" s="655" t="e">
        <f t="shared" si="83"/>
        <v>#DIV/0!</v>
      </c>
      <c r="I237" s="655" t="e">
        <f t="shared" si="83"/>
        <v>#DIV/0!</v>
      </c>
      <c r="J237" s="655" t="e">
        <f t="shared" si="83"/>
        <v>#DIV/0!</v>
      </c>
    </row>
    <row r="238" spans="1:10">
      <c r="B238" s="651"/>
    </row>
  </sheetData>
  <mergeCells count="12">
    <mergeCell ref="B190:J190"/>
    <mergeCell ref="B16:J16"/>
    <mergeCell ref="A3:J3"/>
    <mergeCell ref="A4:J4"/>
    <mergeCell ref="A5:J5"/>
    <mergeCell ref="A90:J90"/>
    <mergeCell ref="A91:J91"/>
    <mergeCell ref="A92:J92"/>
    <mergeCell ref="B103:J103"/>
    <mergeCell ref="A177:J177"/>
    <mergeCell ref="A178:J178"/>
    <mergeCell ref="A179:J179"/>
  </mergeCells>
  <phoneticPr fontId="111"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7"/>
  <sheetViews>
    <sheetView tabSelected="1" view="pageBreakPreview" zoomScale="60" zoomScaleNormal="100" workbookViewId="0">
      <selection activeCell="L25" sqref="L25"/>
    </sheetView>
  </sheetViews>
  <sheetFormatPr defaultColWidth="8.85546875" defaultRowHeight="12.75"/>
  <cols>
    <col min="2" max="2" width="31.7109375" customWidth="1"/>
    <col min="3" max="3" width="10.5703125" customWidth="1"/>
    <col min="5" max="5" width="24.5703125" customWidth="1"/>
    <col min="7" max="7" width="12.7109375" customWidth="1"/>
    <col min="9" max="9" width="18.28515625" customWidth="1"/>
    <col min="10" max="10" width="17" customWidth="1"/>
    <col min="11" max="11" width="5.5703125" customWidth="1"/>
    <col min="12" max="12" width="18.7109375" customWidth="1"/>
  </cols>
  <sheetData>
    <row r="1" spans="2:12" ht="15.75">
      <c r="B1" s="1223" t="s">
        <v>608</v>
      </c>
      <c r="C1" s="1223"/>
      <c r="D1" s="1223"/>
      <c r="E1" s="1223"/>
      <c r="F1" s="1223"/>
      <c r="G1" s="1223"/>
      <c r="H1" s="1223"/>
      <c r="I1" s="1223"/>
      <c r="J1" s="1223"/>
      <c r="K1" s="1223"/>
      <c r="L1" s="1223"/>
    </row>
    <row r="2" spans="2:12" ht="15.75">
      <c r="B2" s="1224" t="s">
        <v>555</v>
      </c>
      <c r="C2" s="1224"/>
      <c r="D2" s="1224"/>
      <c r="E2" s="1224"/>
      <c r="F2" s="1224"/>
      <c r="G2" s="1224"/>
      <c r="H2" s="1224"/>
      <c r="I2" s="1224"/>
      <c r="J2" s="1224"/>
      <c r="K2" s="1224"/>
      <c r="L2" s="1224"/>
    </row>
    <row r="3" spans="2:12" ht="18">
      <c r="B3" s="1184" t="s">
        <v>585</v>
      </c>
      <c r="C3" s="1184"/>
      <c r="D3" s="1184"/>
      <c r="E3" s="1184"/>
      <c r="F3" s="1184"/>
      <c r="G3" s="1184"/>
      <c r="H3" s="1184"/>
      <c r="I3" s="1184"/>
      <c r="J3" s="1184"/>
      <c r="K3" s="1184"/>
      <c r="L3" s="1184"/>
    </row>
    <row r="4" spans="2:12" ht="15.75">
      <c r="B4" s="133"/>
      <c r="C4" s="133"/>
      <c r="D4" s="133"/>
      <c r="E4" s="1224"/>
      <c r="F4" s="1224"/>
      <c r="G4" s="1224"/>
      <c r="H4" s="1224"/>
      <c r="I4" s="133"/>
      <c r="J4" s="133"/>
      <c r="K4" s="133"/>
      <c r="L4" s="133"/>
    </row>
    <row r="7" spans="2:12" ht="16.5" thickBot="1">
      <c r="B7" s="661"/>
      <c r="C7" s="662"/>
      <c r="D7" s="662"/>
      <c r="E7" s="662"/>
      <c r="F7" s="662"/>
      <c r="G7" s="662"/>
      <c r="H7" s="662"/>
      <c r="I7" s="662"/>
      <c r="J7" s="662"/>
      <c r="K7" s="662"/>
      <c r="L7" s="662"/>
    </row>
    <row r="8" spans="2:12" ht="70.5" customHeight="1">
      <c r="B8" s="1026" t="str">
        <f>"Reconciliation Revenue Requirement For Year 2024 Available May 25, 2025"</f>
        <v>Reconciliation Revenue Requirement For Year 2024 Available May 25, 2025</v>
      </c>
      <c r="C8" s="662"/>
      <c r="D8" s="662"/>
      <c r="E8" s="1026" t="s">
        <v>980</v>
      </c>
      <c r="F8" s="662"/>
      <c r="G8" s="662"/>
      <c r="H8" s="133"/>
      <c r="I8" s="960" t="s">
        <v>557</v>
      </c>
      <c r="J8" s="133"/>
      <c r="K8" s="133"/>
      <c r="L8" s="961" t="s">
        <v>406</v>
      </c>
    </row>
    <row r="9" spans="2:12" ht="15.75">
      <c r="B9" s="663" t="s">
        <v>406</v>
      </c>
      <c r="C9" s="662"/>
      <c r="D9" s="662"/>
      <c r="E9" s="663"/>
      <c r="F9" s="662"/>
      <c r="G9" s="662"/>
      <c r="H9" s="133"/>
      <c r="I9" s="664"/>
      <c r="J9" s="133"/>
      <c r="K9" s="133"/>
      <c r="L9" s="962"/>
    </row>
    <row r="10" spans="2:12" ht="24" thickBot="1">
      <c r="B10" s="660">
        <v>16078629.132328153</v>
      </c>
      <c r="C10" s="963" t="str">
        <f>"-"</f>
        <v>-</v>
      </c>
      <c r="D10" s="665"/>
      <c r="E10" s="660">
        <v>18126008.318611413</v>
      </c>
      <c r="F10" s="666"/>
      <c r="G10" s="964" t="str">
        <f>"="</f>
        <v>=</v>
      </c>
      <c r="H10" s="667"/>
      <c r="I10" s="668">
        <f>IF(B10=0,0,E10-B10)</f>
        <v>2047379.1862832606</v>
      </c>
      <c r="J10" s="133"/>
      <c r="K10" s="133"/>
      <c r="L10" s="133"/>
    </row>
    <row r="11" spans="2:12" ht="15.75">
      <c r="B11" s="669"/>
      <c r="C11" s="670"/>
      <c r="D11" s="670"/>
      <c r="E11" s="669"/>
      <c r="F11" s="669"/>
      <c r="G11" s="670"/>
      <c r="H11" s="669"/>
      <c r="I11" s="133"/>
      <c r="J11" s="133"/>
      <c r="K11" s="133"/>
      <c r="L11" s="133"/>
    </row>
    <row r="12" spans="2:12" ht="16.5" thickBot="1">
      <c r="B12" s="671"/>
      <c r="C12" s="672"/>
      <c r="D12" s="672"/>
      <c r="E12" s="671"/>
      <c r="F12" s="671"/>
      <c r="G12" s="672"/>
      <c r="H12" s="671"/>
      <c r="I12" s="673"/>
      <c r="J12" s="673"/>
      <c r="K12" s="673"/>
      <c r="L12" s="673"/>
    </row>
    <row r="13" spans="2:12" ht="15.75">
      <c r="B13" s="674"/>
      <c r="C13" s="670"/>
      <c r="D13" s="670"/>
      <c r="E13" s="669"/>
      <c r="F13" s="669"/>
      <c r="G13" s="670"/>
      <c r="H13" s="669"/>
      <c r="I13" s="133"/>
      <c r="J13" s="133"/>
      <c r="K13" s="133"/>
      <c r="L13" s="133"/>
    </row>
    <row r="14" spans="2:12" ht="47.25">
      <c r="B14" s="675" t="s">
        <v>797</v>
      </c>
      <c r="C14" s="670"/>
      <c r="D14" s="670"/>
      <c r="E14" s="676" t="s">
        <v>558</v>
      </c>
      <c r="F14" s="669"/>
      <c r="G14" s="676" t="s">
        <v>559</v>
      </c>
      <c r="H14" s="677" t="s">
        <v>560</v>
      </c>
      <c r="I14" s="678" t="s">
        <v>561</v>
      </c>
      <c r="J14" s="676" t="s">
        <v>562</v>
      </c>
      <c r="K14" s="679"/>
      <c r="L14" s="676" t="s">
        <v>563</v>
      </c>
    </row>
    <row r="15" spans="2:12" ht="15.75">
      <c r="B15" s="675" t="s">
        <v>798</v>
      </c>
      <c r="C15" s="670"/>
      <c r="D15" s="670"/>
      <c r="E15" s="133"/>
      <c r="F15" s="680"/>
      <c r="G15" s="692">
        <v>6.8300000000000001E-3</v>
      </c>
      <c r="I15" s="133"/>
      <c r="J15" s="133"/>
      <c r="K15" s="133"/>
      <c r="L15" s="133"/>
    </row>
    <row r="16" spans="2:12" ht="15.75">
      <c r="B16" s="675"/>
      <c r="C16" s="670"/>
      <c r="D16" s="670"/>
      <c r="E16" s="133"/>
      <c r="F16" s="680"/>
      <c r="G16" s="680"/>
      <c r="H16" s="669"/>
      <c r="I16" s="133"/>
      <c r="J16" s="133"/>
      <c r="K16" s="133"/>
      <c r="L16" s="133"/>
    </row>
    <row r="17" spans="2:12" ht="15.75">
      <c r="B17" s="675" t="s">
        <v>977</v>
      </c>
      <c r="C17" s="670"/>
      <c r="D17" s="670"/>
      <c r="E17" s="133"/>
      <c r="F17" s="680"/>
      <c r="G17" s="680"/>
      <c r="H17" s="669"/>
      <c r="I17" s="133"/>
      <c r="J17" s="133"/>
      <c r="K17" s="133"/>
      <c r="L17" s="133"/>
    </row>
    <row r="18" spans="2:12" ht="15.75">
      <c r="B18" s="681" t="s">
        <v>406</v>
      </c>
      <c r="C18" s="670"/>
      <c r="D18" s="670"/>
      <c r="E18" s="670"/>
      <c r="F18" s="670"/>
      <c r="G18" s="670" t="s">
        <v>406</v>
      </c>
      <c r="H18" s="133"/>
      <c r="I18" s="133"/>
      <c r="J18" s="133"/>
      <c r="K18" s="133"/>
      <c r="L18" s="133"/>
    </row>
    <row r="19" spans="2:12" ht="15.75">
      <c r="B19" s="682"/>
      <c r="C19" s="670"/>
      <c r="D19" s="670"/>
      <c r="E19" s="670"/>
      <c r="F19" s="670"/>
      <c r="G19" s="133"/>
      <c r="H19" s="133"/>
      <c r="I19" s="677"/>
      <c r="J19" s="670"/>
      <c r="K19" s="670"/>
      <c r="L19" s="670"/>
    </row>
    <row r="20" spans="2:12" ht="15.75">
      <c r="B20" s="682" t="s">
        <v>564</v>
      </c>
      <c r="C20" s="670"/>
      <c r="D20" s="670"/>
      <c r="E20" s="670"/>
      <c r="F20" s="670"/>
      <c r="G20" s="133"/>
      <c r="H20" s="133"/>
      <c r="I20" s="677" t="s">
        <v>565</v>
      </c>
      <c r="J20" s="670"/>
      <c r="K20" s="670"/>
      <c r="L20" s="670"/>
    </row>
    <row r="21" spans="2:12" ht="15.75">
      <c r="B21" s="662" t="s">
        <v>566</v>
      </c>
      <c r="C21" s="662" t="str">
        <f>"Year "&amp;TCOS!L4-2</f>
        <v>Year 2024</v>
      </c>
      <c r="D21" s="662"/>
      <c r="E21" s="683">
        <f>I10/12</f>
        <v>170614.93219027171</v>
      </c>
      <c r="F21" s="683"/>
      <c r="G21" s="684">
        <f>G15</f>
        <v>6.8300000000000001E-3</v>
      </c>
      <c r="H21" s="670">
        <v>12</v>
      </c>
      <c r="I21" s="683">
        <f>G21*E21*H21*-1</f>
        <v>-13983.599842314668</v>
      </c>
      <c r="J21" s="683"/>
      <c r="K21" s="683"/>
      <c r="L21" s="683">
        <f>(-I21+E21)*-1</f>
        <v>-184598.53203258637</v>
      </c>
    </row>
    <row r="22" spans="2:12" ht="15.75">
      <c r="B22" s="662" t="s">
        <v>567</v>
      </c>
      <c r="C22" s="662" t="str">
        <f>C21</f>
        <v>Year 2024</v>
      </c>
      <c r="D22" s="662"/>
      <c r="E22" s="683">
        <f>+E21</f>
        <v>170614.93219027171</v>
      </c>
      <c r="F22" s="683"/>
      <c r="G22" s="684">
        <f>+G21</f>
        <v>6.8300000000000001E-3</v>
      </c>
      <c r="H22" s="670">
        <f t="shared" ref="H22:H32" si="0">+H21-1</f>
        <v>11</v>
      </c>
      <c r="I22" s="683">
        <f t="shared" ref="I22:I32" si="1">G22*E22*H22*-1</f>
        <v>-12818.299855455112</v>
      </c>
      <c r="J22" s="683"/>
      <c r="K22" s="683"/>
      <c r="L22" s="683">
        <f t="shared" ref="L22:L32" si="2">(-I22+E22)*-1</f>
        <v>-183433.23204572682</v>
      </c>
    </row>
    <row r="23" spans="2:12" ht="15.75">
      <c r="B23" s="662" t="s">
        <v>568</v>
      </c>
      <c r="C23" s="662" t="str">
        <f>C21</f>
        <v>Year 2024</v>
      </c>
      <c r="D23" s="662"/>
      <c r="E23" s="683">
        <f t="shared" ref="E23:E32" si="3">+E22</f>
        <v>170614.93219027171</v>
      </c>
      <c r="F23" s="683"/>
      <c r="G23" s="684">
        <f t="shared" ref="G23:G32" si="4">+G22</f>
        <v>6.8300000000000001E-3</v>
      </c>
      <c r="H23" s="670">
        <f t="shared" si="0"/>
        <v>10</v>
      </c>
      <c r="I23" s="683">
        <f t="shared" si="1"/>
        <v>-11652.999868595558</v>
      </c>
      <c r="J23" s="683"/>
      <c r="K23" s="683"/>
      <c r="L23" s="683">
        <f t="shared" si="2"/>
        <v>-182267.93205886727</v>
      </c>
    </row>
    <row r="24" spans="2:12" ht="15.75">
      <c r="B24" s="662" t="s">
        <v>569</v>
      </c>
      <c r="C24" s="662" t="str">
        <f>C21</f>
        <v>Year 2024</v>
      </c>
      <c r="D24" s="662"/>
      <c r="E24" s="683">
        <f t="shared" si="3"/>
        <v>170614.93219027171</v>
      </c>
      <c r="F24" s="683"/>
      <c r="G24" s="684">
        <f t="shared" si="4"/>
        <v>6.8300000000000001E-3</v>
      </c>
      <c r="H24" s="670">
        <f t="shared" si="0"/>
        <v>9</v>
      </c>
      <c r="I24" s="683">
        <f t="shared" si="1"/>
        <v>-10487.699881736002</v>
      </c>
      <c r="J24" s="683"/>
      <c r="K24" s="683"/>
      <c r="L24" s="683">
        <f t="shared" si="2"/>
        <v>-181102.63207200772</v>
      </c>
    </row>
    <row r="25" spans="2:12" ht="15.75">
      <c r="B25" s="662" t="s">
        <v>570</v>
      </c>
      <c r="C25" s="662" t="str">
        <f>C21</f>
        <v>Year 2024</v>
      </c>
      <c r="D25" s="662"/>
      <c r="E25" s="683">
        <f t="shared" si="3"/>
        <v>170614.93219027171</v>
      </c>
      <c r="F25" s="683"/>
      <c r="G25" s="684">
        <f t="shared" si="4"/>
        <v>6.8300000000000001E-3</v>
      </c>
      <c r="H25" s="670">
        <f t="shared" si="0"/>
        <v>8</v>
      </c>
      <c r="I25" s="683">
        <f t="shared" si="1"/>
        <v>-9322.3998948764456</v>
      </c>
      <c r="J25" s="683"/>
      <c r="K25" s="683"/>
      <c r="L25" s="683">
        <f t="shared" si="2"/>
        <v>-179937.33208514814</v>
      </c>
    </row>
    <row r="26" spans="2:12" ht="15.75">
      <c r="B26" s="662" t="s">
        <v>571</v>
      </c>
      <c r="C26" s="662" t="str">
        <f>C21</f>
        <v>Year 2024</v>
      </c>
      <c r="D26" s="662"/>
      <c r="E26" s="683">
        <f t="shared" si="3"/>
        <v>170614.93219027171</v>
      </c>
      <c r="F26" s="683"/>
      <c r="G26" s="684">
        <f t="shared" si="4"/>
        <v>6.8300000000000001E-3</v>
      </c>
      <c r="H26" s="670">
        <f t="shared" si="0"/>
        <v>7</v>
      </c>
      <c r="I26" s="683">
        <f t="shared" si="1"/>
        <v>-8157.0999080168895</v>
      </c>
      <c r="J26" s="683"/>
      <c r="K26" s="683"/>
      <c r="L26" s="683">
        <f t="shared" si="2"/>
        <v>-178772.03209828859</v>
      </c>
    </row>
    <row r="27" spans="2:12" ht="15.75">
      <c r="B27" s="662" t="s">
        <v>572</v>
      </c>
      <c r="C27" s="662" t="str">
        <f>C21</f>
        <v>Year 2024</v>
      </c>
      <c r="D27" s="662"/>
      <c r="E27" s="683">
        <f t="shared" si="3"/>
        <v>170614.93219027171</v>
      </c>
      <c r="F27" s="683"/>
      <c r="G27" s="684">
        <f t="shared" si="4"/>
        <v>6.8300000000000001E-3</v>
      </c>
      <c r="H27" s="670">
        <f t="shared" si="0"/>
        <v>6</v>
      </c>
      <c r="I27" s="683">
        <f t="shared" si="1"/>
        <v>-6991.7999211573342</v>
      </c>
      <c r="J27" s="683"/>
      <c r="K27" s="683"/>
      <c r="L27" s="683">
        <f t="shared" si="2"/>
        <v>-177606.73211142904</v>
      </c>
    </row>
    <row r="28" spans="2:12" ht="15.75">
      <c r="B28" s="662" t="s">
        <v>573</v>
      </c>
      <c r="C28" s="662" t="str">
        <f>C21</f>
        <v>Year 2024</v>
      </c>
      <c r="D28" s="662"/>
      <c r="E28" s="683">
        <f t="shared" si="3"/>
        <v>170614.93219027171</v>
      </c>
      <c r="F28" s="683"/>
      <c r="G28" s="684">
        <f t="shared" si="4"/>
        <v>6.8300000000000001E-3</v>
      </c>
      <c r="H28" s="670">
        <f t="shared" si="0"/>
        <v>5</v>
      </c>
      <c r="I28" s="683">
        <f t="shared" si="1"/>
        <v>-5826.499934297779</v>
      </c>
      <c r="J28" s="683"/>
      <c r="K28" s="683"/>
      <c r="L28" s="683">
        <f t="shared" si="2"/>
        <v>-176441.43212456949</v>
      </c>
    </row>
    <row r="29" spans="2:12" ht="15.75">
      <c r="B29" s="662" t="s">
        <v>574</v>
      </c>
      <c r="C29" s="662" t="str">
        <f>C21</f>
        <v>Year 2024</v>
      </c>
      <c r="D29" s="662"/>
      <c r="E29" s="683">
        <f t="shared" si="3"/>
        <v>170614.93219027171</v>
      </c>
      <c r="F29" s="683"/>
      <c r="G29" s="684">
        <f t="shared" si="4"/>
        <v>6.8300000000000001E-3</v>
      </c>
      <c r="H29" s="670">
        <f t="shared" si="0"/>
        <v>4</v>
      </c>
      <c r="I29" s="683">
        <f t="shared" si="1"/>
        <v>-4661.1999474382228</v>
      </c>
      <c r="J29" s="683"/>
      <c r="K29" s="683"/>
      <c r="L29" s="683">
        <f t="shared" si="2"/>
        <v>-175276.13213770994</v>
      </c>
    </row>
    <row r="30" spans="2:12" ht="15.75">
      <c r="B30" s="662" t="s">
        <v>575</v>
      </c>
      <c r="C30" s="662" t="str">
        <f>C21</f>
        <v>Year 2024</v>
      </c>
      <c r="D30" s="662"/>
      <c r="E30" s="683">
        <f t="shared" si="3"/>
        <v>170614.93219027171</v>
      </c>
      <c r="F30" s="683"/>
      <c r="G30" s="684">
        <f t="shared" si="4"/>
        <v>6.8300000000000001E-3</v>
      </c>
      <c r="H30" s="670">
        <f t="shared" si="0"/>
        <v>3</v>
      </c>
      <c r="I30" s="683">
        <f t="shared" si="1"/>
        <v>-3495.8999605786671</v>
      </c>
      <c r="J30" s="683"/>
      <c r="K30" s="683"/>
      <c r="L30" s="683">
        <f t="shared" si="2"/>
        <v>-174110.83215085039</v>
      </c>
    </row>
    <row r="31" spans="2:12" ht="15.75">
      <c r="B31" s="662" t="s">
        <v>576</v>
      </c>
      <c r="C31" s="662" t="str">
        <f>C21</f>
        <v>Year 2024</v>
      </c>
      <c r="D31" s="662"/>
      <c r="E31" s="683">
        <f t="shared" si="3"/>
        <v>170614.93219027171</v>
      </c>
      <c r="F31" s="683"/>
      <c r="G31" s="684">
        <f t="shared" si="4"/>
        <v>6.8300000000000001E-3</v>
      </c>
      <c r="H31" s="670">
        <f t="shared" si="0"/>
        <v>2</v>
      </c>
      <c r="I31" s="683">
        <f t="shared" si="1"/>
        <v>-2330.5999737191114</v>
      </c>
      <c r="J31" s="683"/>
      <c r="K31" s="683"/>
      <c r="L31" s="683">
        <f t="shared" si="2"/>
        <v>-172945.53216399081</v>
      </c>
    </row>
    <row r="32" spans="2:12" ht="15.75">
      <c r="B32" s="662" t="s">
        <v>577</v>
      </c>
      <c r="C32" s="662" t="str">
        <f>C21</f>
        <v>Year 2024</v>
      </c>
      <c r="D32" s="662"/>
      <c r="E32" s="683">
        <f t="shared" si="3"/>
        <v>170614.93219027171</v>
      </c>
      <c r="F32" s="683"/>
      <c r="G32" s="684">
        <f t="shared" si="4"/>
        <v>6.8300000000000001E-3</v>
      </c>
      <c r="H32" s="670">
        <f t="shared" si="0"/>
        <v>1</v>
      </c>
      <c r="I32" s="685">
        <f t="shared" si="1"/>
        <v>-1165.2999868595557</v>
      </c>
      <c r="J32" s="683"/>
      <c r="K32" s="683"/>
      <c r="L32" s="683">
        <f t="shared" si="2"/>
        <v>-171780.23217713126</v>
      </c>
    </row>
    <row r="33" spans="2:12" ht="15.75">
      <c r="B33" s="662"/>
      <c r="C33" s="662"/>
      <c r="D33" s="662"/>
      <c r="E33" s="683"/>
      <c r="F33" s="683"/>
      <c r="G33" s="684"/>
      <c r="H33" s="662"/>
      <c r="I33" s="683">
        <f>SUM(I21:I32)</f>
        <v>-90893.398975045333</v>
      </c>
      <c r="J33" s="683"/>
      <c r="K33" s="683"/>
      <c r="L33" s="686">
        <f>SUM(L21:L32)</f>
        <v>-2138272.585258306</v>
      </c>
    </row>
    <row r="34" spans="2:12" ht="15.75">
      <c r="B34" s="662"/>
      <c r="C34" s="662"/>
      <c r="D34" s="662"/>
      <c r="E34" s="683"/>
      <c r="F34" s="683"/>
      <c r="G34" s="684"/>
      <c r="H34" s="662"/>
      <c r="I34" s="683"/>
      <c r="J34" s="683" t="s">
        <v>406</v>
      </c>
      <c r="K34" s="683"/>
      <c r="L34" s="133"/>
    </row>
    <row r="35" spans="2:12" ht="15.75">
      <c r="B35" s="662"/>
      <c r="C35" s="662"/>
      <c r="D35" s="662"/>
      <c r="E35" s="669"/>
      <c r="F35" s="669"/>
      <c r="G35" s="684"/>
      <c r="H35" s="662"/>
      <c r="I35" s="687" t="s">
        <v>578</v>
      </c>
      <c r="J35" s="683"/>
      <c r="K35" s="683"/>
      <c r="L35" s="683"/>
    </row>
    <row r="36" spans="2:12" ht="15.75">
      <c r="B36" s="662" t="s">
        <v>579</v>
      </c>
      <c r="C36" s="662" t="str">
        <f>"Year "&amp;TCOS!L4-1</f>
        <v>Year 2025</v>
      </c>
      <c r="D36" s="662"/>
      <c r="E36" s="669">
        <f>L33</f>
        <v>-2138272.585258306</v>
      </c>
      <c r="F36" s="669"/>
      <c r="G36" s="684">
        <f>G32</f>
        <v>6.8300000000000001E-3</v>
      </c>
      <c r="H36" s="670">
        <v>12</v>
      </c>
      <c r="I36" s="683">
        <f>+H36*G36*E36</f>
        <v>-175252.82108777078</v>
      </c>
      <c r="J36" s="683"/>
      <c r="K36" s="683"/>
      <c r="L36" s="686">
        <f>+E36+I36</f>
        <v>-2313525.4063460766</v>
      </c>
    </row>
    <row r="37" spans="2:12" ht="15.75">
      <c r="B37" s="662"/>
      <c r="C37" s="662"/>
      <c r="D37" s="662"/>
      <c r="E37" s="669"/>
      <c r="F37" s="669"/>
      <c r="G37" s="684"/>
      <c r="H37" s="662"/>
      <c r="I37" s="683"/>
      <c r="J37" s="683"/>
      <c r="K37" s="683"/>
      <c r="L37" s="683"/>
    </row>
    <row r="38" spans="2:12" ht="15.75">
      <c r="B38" s="688" t="s">
        <v>580</v>
      </c>
      <c r="C38" s="662"/>
      <c r="D38" s="662"/>
      <c r="E38" s="683"/>
      <c r="F38" s="683"/>
      <c r="G38" s="684"/>
      <c r="H38" s="662"/>
      <c r="I38" s="687" t="s">
        <v>565</v>
      </c>
      <c r="J38" s="683"/>
      <c r="K38" s="683"/>
      <c r="L38" s="683"/>
    </row>
    <row r="39" spans="2:12" ht="15.75">
      <c r="B39" s="662" t="s">
        <v>566</v>
      </c>
      <c r="C39" s="662" t="str">
        <f>"Year "&amp;TCOS!L4</f>
        <v>Year 2026</v>
      </c>
      <c r="D39" s="662"/>
      <c r="E39" s="669">
        <f>-L36</f>
        <v>2313525.4063460766</v>
      </c>
      <c r="F39" s="669"/>
      <c r="G39" s="684">
        <f>G15</f>
        <v>6.8300000000000001E-3</v>
      </c>
      <c r="H39" s="670" t="s">
        <v>406</v>
      </c>
      <c r="I39" s="683">
        <f xml:space="preserve"> -G39*E39</f>
        <v>-15801.378525343704</v>
      </c>
      <c r="J39" s="683">
        <f>PMT(G39,12,L$36)</f>
        <v>201459.66154536093</v>
      </c>
      <c r="K39" s="683"/>
      <c r="L39" s="683">
        <f>(+E39+E39*G39-J39)*-1</f>
        <v>-2127867.1233260594</v>
      </c>
    </row>
    <row r="40" spans="2:12" ht="15.75">
      <c r="B40" s="662" t="s">
        <v>567</v>
      </c>
      <c r="C40" s="662" t="str">
        <f>+C39</f>
        <v>Year 2026</v>
      </c>
      <c r="D40" s="662"/>
      <c r="E40" s="669">
        <f>-L39</f>
        <v>2127867.1233260594</v>
      </c>
      <c r="F40" s="669"/>
      <c r="G40" s="684">
        <f>+G39</f>
        <v>6.8300000000000001E-3</v>
      </c>
      <c r="H40" s="670" t="s">
        <v>406</v>
      </c>
      <c r="I40" s="683">
        <f xml:space="preserve"> -G40*E40</f>
        <v>-14533.332452316987</v>
      </c>
      <c r="J40" s="683">
        <f>J39</f>
        <v>201459.66154536093</v>
      </c>
      <c r="K40" s="683"/>
      <c r="L40" s="683">
        <f t="shared" ref="L40:L50" si="5">(+E40+E40*G40-J40)*-1</f>
        <v>-1940940.7942330153</v>
      </c>
    </row>
    <row r="41" spans="2:12" ht="15.75">
      <c r="B41" s="662" t="s">
        <v>568</v>
      </c>
      <c r="C41" s="662" t="str">
        <f>+C40</f>
        <v>Year 2026</v>
      </c>
      <c r="D41" s="662"/>
      <c r="E41" s="669">
        <f t="shared" ref="E41:E50" si="6">-L40</f>
        <v>1940940.7942330153</v>
      </c>
      <c r="F41" s="669"/>
      <c r="G41" s="684">
        <f t="shared" ref="G41:G50" si="7">+G40</f>
        <v>6.8300000000000001E-3</v>
      </c>
      <c r="H41" s="670" t="s">
        <v>406</v>
      </c>
      <c r="I41" s="683">
        <f t="shared" ref="I41:I50" si="8" xml:space="preserve"> -G41*E41</f>
        <v>-13256.625624611495</v>
      </c>
      <c r="J41" s="683">
        <f t="shared" ref="J41:J50" si="9">J40</f>
        <v>201459.66154536093</v>
      </c>
      <c r="K41" s="683"/>
      <c r="L41" s="683">
        <f t="shared" si="5"/>
        <v>-1752737.7583122659</v>
      </c>
    </row>
    <row r="42" spans="2:12" ht="15.75">
      <c r="B42" s="662" t="s">
        <v>569</v>
      </c>
      <c r="C42" s="662" t="str">
        <f>+C41</f>
        <v>Year 2026</v>
      </c>
      <c r="D42" s="662"/>
      <c r="E42" s="669">
        <f t="shared" si="6"/>
        <v>1752737.7583122659</v>
      </c>
      <c r="F42" s="669"/>
      <c r="G42" s="684">
        <f t="shared" si="7"/>
        <v>6.8300000000000001E-3</v>
      </c>
      <c r="H42" s="670" t="s">
        <v>406</v>
      </c>
      <c r="I42" s="683">
        <f t="shared" si="8"/>
        <v>-11971.198889272777</v>
      </c>
      <c r="J42" s="683">
        <f t="shared" si="9"/>
        <v>201459.66154536093</v>
      </c>
      <c r="K42" s="683"/>
      <c r="L42" s="683">
        <f t="shared" si="5"/>
        <v>-1563249.2956561777</v>
      </c>
    </row>
    <row r="43" spans="2:12" ht="15.75">
      <c r="B43" s="662" t="s">
        <v>570</v>
      </c>
      <c r="C43" s="662" t="str">
        <f>+C42</f>
        <v>Year 2026</v>
      </c>
      <c r="D43" s="662"/>
      <c r="E43" s="669">
        <f t="shared" si="6"/>
        <v>1563249.2956561777</v>
      </c>
      <c r="F43" s="669"/>
      <c r="G43" s="684">
        <f t="shared" si="7"/>
        <v>6.8300000000000001E-3</v>
      </c>
      <c r="H43" s="670" t="s">
        <v>406</v>
      </c>
      <c r="I43" s="683">
        <f t="shared" si="8"/>
        <v>-10676.992689331693</v>
      </c>
      <c r="J43" s="683">
        <f>J42</f>
        <v>201459.66154536093</v>
      </c>
      <c r="K43" s="683"/>
      <c r="L43" s="683">
        <f t="shared" si="5"/>
        <v>-1372466.6268001485</v>
      </c>
    </row>
    <row r="44" spans="2:12" ht="15.75">
      <c r="B44" s="662" t="s">
        <v>571</v>
      </c>
      <c r="C44" s="662" t="str">
        <f>C43</f>
        <v>Year 2026</v>
      </c>
      <c r="D44" s="133"/>
      <c r="E44" s="669">
        <f t="shared" si="6"/>
        <v>1372466.6268001485</v>
      </c>
      <c r="F44" s="669"/>
      <c r="G44" s="684">
        <f t="shared" si="7"/>
        <v>6.8300000000000001E-3</v>
      </c>
      <c r="H44" s="670" t="s">
        <v>406</v>
      </c>
      <c r="I44" s="683">
        <f t="shared" si="8"/>
        <v>-9373.9470610450153</v>
      </c>
      <c r="J44" s="683">
        <f t="shared" si="9"/>
        <v>201459.66154536093</v>
      </c>
      <c r="K44" s="683"/>
      <c r="L44" s="683">
        <f t="shared" si="5"/>
        <v>-1180380.9123158327</v>
      </c>
    </row>
    <row r="45" spans="2:12" ht="15.75">
      <c r="B45" s="662" t="s">
        <v>572</v>
      </c>
      <c r="C45" s="662" t="str">
        <f t="shared" ref="C45:C50" si="10">+C44</f>
        <v>Year 2026</v>
      </c>
      <c r="D45" s="662"/>
      <c r="E45" s="669">
        <f t="shared" si="6"/>
        <v>1180380.9123158327</v>
      </c>
      <c r="F45" s="669"/>
      <c r="G45" s="684">
        <f t="shared" si="7"/>
        <v>6.8300000000000001E-3</v>
      </c>
      <c r="H45" s="670" t="s">
        <v>406</v>
      </c>
      <c r="I45" s="683">
        <f t="shared" si="8"/>
        <v>-8062.0016311171375</v>
      </c>
      <c r="J45" s="683">
        <f t="shared" si="9"/>
        <v>201459.66154536093</v>
      </c>
      <c r="K45" s="683"/>
      <c r="L45" s="683">
        <f t="shared" si="5"/>
        <v>-986983.25240158895</v>
      </c>
    </row>
    <row r="46" spans="2:12" ht="15.75">
      <c r="B46" s="662" t="s">
        <v>573</v>
      </c>
      <c r="C46" s="662" t="str">
        <f t="shared" si="10"/>
        <v>Year 2026</v>
      </c>
      <c r="D46" s="662"/>
      <c r="E46" s="669">
        <f t="shared" si="6"/>
        <v>986983.25240158895</v>
      </c>
      <c r="F46" s="669"/>
      <c r="G46" s="684">
        <f t="shared" si="7"/>
        <v>6.8300000000000001E-3</v>
      </c>
      <c r="H46" s="670" t="s">
        <v>406</v>
      </c>
      <c r="I46" s="683">
        <f t="shared" si="8"/>
        <v>-6741.0956139028531</v>
      </c>
      <c r="J46" s="683">
        <f t="shared" si="9"/>
        <v>201459.66154536093</v>
      </c>
      <c r="K46" s="683"/>
      <c r="L46" s="683">
        <f t="shared" si="5"/>
        <v>-792264.68647013092</v>
      </c>
    </row>
    <row r="47" spans="2:12" ht="15.75">
      <c r="B47" s="662" t="s">
        <v>574</v>
      </c>
      <c r="C47" s="662" t="str">
        <f t="shared" si="10"/>
        <v>Year 2026</v>
      </c>
      <c r="D47" s="662"/>
      <c r="E47" s="669">
        <f t="shared" si="6"/>
        <v>792264.68647013092</v>
      </c>
      <c r="F47" s="669"/>
      <c r="G47" s="684">
        <f t="shared" si="7"/>
        <v>6.8300000000000001E-3</v>
      </c>
      <c r="H47" s="670" t="s">
        <v>406</v>
      </c>
      <c r="I47" s="683">
        <f t="shared" si="8"/>
        <v>-5411.1678085909944</v>
      </c>
      <c r="J47" s="683">
        <f>J46</f>
        <v>201459.66154536093</v>
      </c>
      <c r="K47" s="683"/>
      <c r="L47" s="683">
        <f t="shared" si="5"/>
        <v>-596216.19273336104</v>
      </c>
    </row>
    <row r="48" spans="2:12" ht="15.75">
      <c r="B48" s="662" t="s">
        <v>575</v>
      </c>
      <c r="C48" s="662" t="str">
        <f t="shared" si="10"/>
        <v>Year 2026</v>
      </c>
      <c r="D48" s="662"/>
      <c r="E48" s="669">
        <f t="shared" si="6"/>
        <v>596216.19273336104</v>
      </c>
      <c r="F48" s="669"/>
      <c r="G48" s="684">
        <f t="shared" si="7"/>
        <v>6.8300000000000001E-3</v>
      </c>
      <c r="H48" s="670" t="s">
        <v>406</v>
      </c>
      <c r="I48" s="683">
        <f t="shared" si="8"/>
        <v>-4072.1565963688558</v>
      </c>
      <c r="J48" s="683">
        <f t="shared" si="9"/>
        <v>201459.66154536093</v>
      </c>
      <c r="K48" s="683"/>
      <c r="L48" s="683">
        <f t="shared" si="5"/>
        <v>-398828.68778436899</v>
      </c>
    </row>
    <row r="49" spans="2:12" ht="15.75">
      <c r="B49" s="662" t="s">
        <v>576</v>
      </c>
      <c r="C49" s="662" t="str">
        <f t="shared" si="10"/>
        <v>Year 2026</v>
      </c>
      <c r="D49" s="662"/>
      <c r="E49" s="669">
        <f t="shared" si="6"/>
        <v>398828.68778436899</v>
      </c>
      <c r="F49" s="669"/>
      <c r="G49" s="684">
        <f t="shared" si="7"/>
        <v>6.8300000000000001E-3</v>
      </c>
      <c r="H49" s="670" t="s">
        <v>406</v>
      </c>
      <c r="I49" s="683">
        <f t="shared" si="8"/>
        <v>-2723.9999375672401</v>
      </c>
      <c r="J49" s="683">
        <f t="shared" si="9"/>
        <v>201459.66154536093</v>
      </c>
      <c r="K49" s="683"/>
      <c r="L49" s="683">
        <f t="shared" si="5"/>
        <v>-200093.02617657528</v>
      </c>
    </row>
    <row r="50" spans="2:12" ht="15.75">
      <c r="B50" s="662" t="s">
        <v>577</v>
      </c>
      <c r="C50" s="662" t="str">
        <f t="shared" si="10"/>
        <v>Year 2026</v>
      </c>
      <c r="D50" s="662"/>
      <c r="E50" s="669">
        <f t="shared" si="6"/>
        <v>200093.02617657528</v>
      </c>
      <c r="F50" s="669"/>
      <c r="G50" s="684">
        <f t="shared" si="7"/>
        <v>6.8300000000000001E-3</v>
      </c>
      <c r="H50" s="670" t="s">
        <v>406</v>
      </c>
      <c r="I50" s="685">
        <f t="shared" si="8"/>
        <v>-1366.6353687860092</v>
      </c>
      <c r="J50" s="683">
        <f t="shared" si="9"/>
        <v>201459.66154536093</v>
      </c>
      <c r="K50" s="683"/>
      <c r="L50" s="683">
        <f t="shared" si="5"/>
        <v>-3.4924596548080444E-10</v>
      </c>
    </row>
    <row r="51" spans="2:12" ht="15.75">
      <c r="B51" s="662"/>
      <c r="C51" s="662"/>
      <c r="D51" s="662"/>
      <c r="E51" s="669"/>
      <c r="F51" s="669"/>
      <c r="G51" s="684"/>
      <c r="H51" s="662"/>
      <c r="I51" s="683">
        <f>SUM(I39:I50)</f>
        <v>-103990.53219825476</v>
      </c>
      <c r="J51" s="683"/>
      <c r="K51" s="683"/>
      <c r="L51" s="683"/>
    </row>
    <row r="52" spans="2:12" ht="15">
      <c r="B52" s="133"/>
      <c r="C52" s="133"/>
      <c r="D52" s="133"/>
      <c r="E52" s="133"/>
      <c r="F52" s="133"/>
      <c r="G52" s="133"/>
      <c r="H52" s="133"/>
      <c r="I52" s="133"/>
      <c r="J52" s="689"/>
      <c r="K52" s="133"/>
      <c r="L52" s="133"/>
    </row>
    <row r="53" spans="2:12" ht="15.75">
      <c r="B53" s="662" t="s">
        <v>581</v>
      </c>
      <c r="C53" s="133"/>
      <c r="D53" s="133"/>
      <c r="E53" s="133"/>
      <c r="F53" s="133"/>
      <c r="G53" s="133"/>
      <c r="H53" s="133"/>
      <c r="I53" s="133"/>
      <c r="J53" s="690">
        <f>(SUM(J39:J50)*-1)</f>
        <v>-2417515.9385443311</v>
      </c>
      <c r="K53" s="133"/>
      <c r="L53" s="133"/>
    </row>
    <row r="54" spans="2:12" ht="15.75">
      <c r="B54" s="662" t="s">
        <v>582</v>
      </c>
      <c r="C54" s="133"/>
      <c r="D54" s="133"/>
      <c r="E54" s="133"/>
      <c r="F54" s="133"/>
      <c r="G54" s="133"/>
      <c r="H54" s="133"/>
      <c r="I54" s="133"/>
      <c r="J54" s="691">
        <f>+I10</f>
        <v>2047379.1862832606</v>
      </c>
      <c r="K54" s="133"/>
      <c r="L54" s="133"/>
    </row>
    <row r="55" spans="2:12" ht="15.75">
      <c r="B55" s="662" t="s">
        <v>583</v>
      </c>
      <c r="C55" s="133"/>
      <c r="D55" s="133"/>
      <c r="E55" s="133"/>
      <c r="F55" s="133"/>
      <c r="G55" s="133"/>
      <c r="H55" s="133"/>
      <c r="I55" s="133"/>
      <c r="J55" s="690">
        <f>(J53+J54)</f>
        <v>-370136.75226107053</v>
      </c>
      <c r="K55" s="133"/>
      <c r="L55" s="133"/>
    </row>
    <row r="57" spans="2:12" ht="80.25" customHeight="1">
      <c r="B57" s="1225" t="s">
        <v>584</v>
      </c>
      <c r="C57" s="1225"/>
      <c r="D57" s="1225"/>
      <c r="E57" s="1225"/>
      <c r="F57" s="1225"/>
      <c r="G57" s="1225"/>
      <c r="H57" s="965"/>
      <c r="I57" s="965"/>
      <c r="J57" s="965"/>
      <c r="K57" s="965"/>
      <c r="L57" s="965"/>
    </row>
  </sheetData>
  <mergeCells count="5">
    <mergeCell ref="B3:L3"/>
    <mergeCell ref="B1:L1"/>
    <mergeCell ref="B2:L2"/>
    <mergeCell ref="E4:H4"/>
    <mergeCell ref="B57:G57"/>
  </mergeCells>
  <pageMargins left="0.7" right="0.7" top="0.75" bottom="0.75" header="0.3" footer="0.3"/>
  <pageSetup scale="5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tabSelected="1" view="pageBreakPreview" zoomScale="60" zoomScaleNormal="100" workbookViewId="0">
      <selection activeCell="L25" sqref="L25"/>
    </sheetView>
  </sheetViews>
  <sheetFormatPr defaultColWidth="8.85546875" defaultRowHeight="12.75"/>
  <cols>
    <col min="2" max="2" width="31.5703125" customWidth="1"/>
    <col min="3" max="3" width="10.5703125" customWidth="1"/>
    <col min="5" max="5" width="24.5703125" customWidth="1"/>
    <col min="7" max="7" width="12.7109375" customWidth="1"/>
    <col min="9" max="9" width="18.28515625" customWidth="1"/>
    <col min="10" max="10" width="17" customWidth="1"/>
    <col min="11" max="11" width="5.5703125" customWidth="1"/>
    <col min="12" max="12" width="18.7109375" customWidth="1"/>
  </cols>
  <sheetData>
    <row r="1" spans="2:12" ht="15.75">
      <c r="B1" s="1223" t="s">
        <v>608</v>
      </c>
      <c r="C1" s="1223"/>
      <c r="D1" s="1223"/>
      <c r="E1" s="1223"/>
      <c r="F1" s="1223"/>
      <c r="G1" s="1223"/>
      <c r="H1" s="1223"/>
      <c r="I1" s="1223"/>
      <c r="J1" s="1223"/>
      <c r="K1" s="1223"/>
      <c r="L1" s="1223"/>
    </row>
    <row r="2" spans="2:12" ht="15.75">
      <c r="B2" s="1224" t="s">
        <v>555</v>
      </c>
      <c r="C2" s="1224"/>
      <c r="D2" s="1224"/>
      <c r="E2" s="1224"/>
      <c r="F2" s="1224"/>
      <c r="G2" s="1224"/>
      <c r="H2" s="1224"/>
      <c r="I2" s="1224"/>
      <c r="J2" s="1224"/>
      <c r="K2" s="1224"/>
      <c r="L2" s="1224"/>
    </row>
    <row r="3" spans="2:12" ht="18">
      <c r="B3" s="1184" t="s">
        <v>585</v>
      </c>
      <c r="C3" s="1184"/>
      <c r="D3" s="1184"/>
      <c r="E3" s="1184"/>
      <c r="F3" s="1184"/>
      <c r="G3" s="1184"/>
      <c r="H3" s="1184"/>
      <c r="I3" s="1184"/>
      <c r="J3" s="1184"/>
      <c r="K3" s="1184"/>
      <c r="L3" s="1184"/>
    </row>
    <row r="4" spans="2:12" ht="15.75">
      <c r="B4" s="133"/>
      <c r="C4" s="133"/>
      <c r="D4" s="133"/>
      <c r="E4" s="1224"/>
      <c r="F4" s="1224"/>
      <c r="G4" s="1224"/>
      <c r="H4" s="1224"/>
      <c r="I4" s="133"/>
      <c r="J4" s="133"/>
      <c r="K4" s="133"/>
      <c r="L4" s="133"/>
    </row>
    <row r="7" spans="2:12" ht="16.5" thickBot="1">
      <c r="B7" s="661"/>
      <c r="C7" s="662"/>
      <c r="D7" s="662"/>
      <c r="E7" s="662"/>
      <c r="F7" s="662"/>
      <c r="G7" s="662"/>
      <c r="H7" s="662"/>
      <c r="I7" s="662"/>
      <c r="J7" s="662"/>
      <c r="K7" s="662"/>
      <c r="L7" s="662"/>
    </row>
    <row r="8" spans="2:12" ht="67.5" customHeight="1">
      <c r="B8" s="1026" t="str">
        <f>'WS R Interest'!B8</f>
        <v>Reconciliation Revenue Requirement For Year 2024 Available May 25, 2025</v>
      </c>
      <c r="C8" s="662"/>
      <c r="D8" s="662"/>
      <c r="E8" s="1026" t="s">
        <v>981</v>
      </c>
      <c r="F8" s="662"/>
      <c r="G8" s="662"/>
      <c r="H8" s="133"/>
      <c r="I8" s="960" t="s">
        <v>557</v>
      </c>
      <c r="J8" s="133"/>
      <c r="K8" s="133"/>
      <c r="L8" s="961" t="s">
        <v>406</v>
      </c>
    </row>
    <row r="9" spans="2:12" ht="15.75">
      <c r="B9" s="663" t="s">
        <v>406</v>
      </c>
      <c r="C9" s="662"/>
      <c r="D9" s="662"/>
      <c r="E9" s="663"/>
      <c r="F9" s="662"/>
      <c r="G9" s="662"/>
      <c r="H9" s="133"/>
      <c r="I9" s="664"/>
      <c r="J9" s="133"/>
      <c r="K9" s="133"/>
      <c r="L9" s="962"/>
    </row>
    <row r="10" spans="2:12" ht="24" thickBot="1">
      <c r="B10" s="660">
        <v>81552.94</v>
      </c>
      <c r="C10" s="963" t="str">
        <f>"-"</f>
        <v>-</v>
      </c>
      <c r="D10" s="665"/>
      <c r="E10" s="660">
        <v>75779.628222120009</v>
      </c>
      <c r="F10" s="666"/>
      <c r="G10" s="964" t="str">
        <f>"="</f>
        <v>=</v>
      </c>
      <c r="H10" s="667"/>
      <c r="I10" s="668">
        <f>IF(B10=0,0,E10-B10)</f>
        <v>-5773.3117778799933</v>
      </c>
      <c r="J10" s="133"/>
      <c r="K10" s="133"/>
      <c r="L10" s="133"/>
    </row>
    <row r="11" spans="2:12" ht="15.75">
      <c r="B11" s="669"/>
      <c r="C11" s="670"/>
      <c r="D11" s="670"/>
      <c r="E11" s="669"/>
      <c r="F11" s="669"/>
      <c r="G11" s="670"/>
      <c r="H11" s="669"/>
      <c r="I11" s="133"/>
      <c r="J11" s="133"/>
      <c r="K11" s="133"/>
      <c r="L11" s="133"/>
    </row>
    <row r="12" spans="2:12" ht="16.5" thickBot="1">
      <c r="B12" s="671"/>
      <c r="C12" s="672"/>
      <c r="D12" s="672"/>
      <c r="E12" s="671"/>
      <c r="F12" s="671"/>
      <c r="G12" s="672"/>
      <c r="H12" s="671"/>
      <c r="I12" s="673"/>
      <c r="J12" s="673"/>
      <c r="K12" s="673"/>
      <c r="L12" s="673"/>
    </row>
    <row r="13" spans="2:12" ht="15.75">
      <c r="B13" s="674"/>
      <c r="C13" s="670"/>
      <c r="D13" s="670"/>
      <c r="E13" s="669"/>
      <c r="F13" s="669"/>
      <c r="G13" s="670"/>
      <c r="H13" s="669"/>
      <c r="I13" s="133"/>
      <c r="J13" s="133"/>
      <c r="K13" s="133"/>
      <c r="L13" s="133"/>
    </row>
    <row r="14" spans="2:12" ht="47.25">
      <c r="B14" s="675" t="s">
        <v>797</v>
      </c>
      <c r="C14" s="670"/>
      <c r="D14" s="670"/>
      <c r="E14" s="676" t="s">
        <v>558</v>
      </c>
      <c r="F14" s="669"/>
      <c r="G14" s="676" t="s">
        <v>559</v>
      </c>
      <c r="H14" s="677" t="s">
        <v>560</v>
      </c>
      <c r="I14" s="678" t="s">
        <v>561</v>
      </c>
      <c r="J14" s="676" t="s">
        <v>562</v>
      </c>
      <c r="K14" s="679"/>
      <c r="L14" s="676" t="s">
        <v>563</v>
      </c>
    </row>
    <row r="15" spans="2:12" ht="15.75">
      <c r="B15" s="675" t="s">
        <v>798</v>
      </c>
      <c r="C15" s="670"/>
      <c r="D15" s="670"/>
      <c r="E15" s="133"/>
      <c r="F15" s="680"/>
      <c r="G15" s="692">
        <v>6.8300000000000001E-3</v>
      </c>
      <c r="I15" s="133"/>
      <c r="J15" s="133"/>
      <c r="K15" s="133"/>
      <c r="L15" s="133"/>
    </row>
    <row r="16" spans="2:12" ht="15.75">
      <c r="B16" s="675"/>
      <c r="C16" s="670"/>
      <c r="D16" s="670"/>
      <c r="E16" s="133"/>
      <c r="F16" s="680"/>
      <c r="G16" s="680"/>
      <c r="H16" s="669"/>
      <c r="I16" s="133"/>
      <c r="J16" s="133"/>
      <c r="K16" s="133"/>
      <c r="L16" s="133"/>
    </row>
    <row r="17" spans="2:12" ht="15.75">
      <c r="B17" s="675" t="str">
        <f>'WS R Interest'!B17</f>
        <v>An over or under collection will be recovered prorata over 2023, held for 2024 and returned prorate over 2025</v>
      </c>
      <c r="C17" s="670"/>
      <c r="D17" s="670"/>
      <c r="E17" s="133"/>
      <c r="F17" s="680"/>
      <c r="G17" s="680"/>
      <c r="H17" s="669"/>
      <c r="I17" s="133"/>
      <c r="J17" s="133"/>
      <c r="K17" s="133"/>
      <c r="L17" s="133"/>
    </row>
    <row r="18" spans="2:12" ht="15.75">
      <c r="B18" s="681" t="s">
        <v>406</v>
      </c>
      <c r="C18" s="670"/>
      <c r="D18" s="670"/>
      <c r="E18" s="670"/>
      <c r="F18" s="670"/>
      <c r="G18" s="670" t="s">
        <v>406</v>
      </c>
      <c r="H18" s="133"/>
      <c r="I18" s="133"/>
      <c r="J18" s="133"/>
      <c r="K18" s="133"/>
      <c r="L18" s="133"/>
    </row>
    <row r="19" spans="2:12" ht="15.75">
      <c r="B19" s="682"/>
      <c r="C19" s="670"/>
      <c r="D19" s="670"/>
      <c r="E19" s="670"/>
      <c r="F19" s="670"/>
      <c r="G19" s="133"/>
      <c r="H19" s="133"/>
      <c r="I19" s="677"/>
      <c r="J19" s="670"/>
      <c r="K19" s="670"/>
      <c r="L19" s="670"/>
    </row>
    <row r="20" spans="2:12" ht="15.75">
      <c r="B20" s="682" t="s">
        <v>564</v>
      </c>
      <c r="C20" s="670"/>
      <c r="D20" s="670"/>
      <c r="E20" s="670"/>
      <c r="F20" s="670"/>
      <c r="G20" s="133"/>
      <c r="H20" s="133"/>
      <c r="I20" s="677" t="s">
        <v>565</v>
      </c>
      <c r="J20" s="670"/>
      <c r="K20" s="670"/>
      <c r="L20" s="670"/>
    </row>
    <row r="21" spans="2:12" ht="15.75">
      <c r="B21" s="662" t="s">
        <v>566</v>
      </c>
      <c r="C21" s="662" t="str">
        <f>"Year "&amp;TCOS!L4-2</f>
        <v>Year 2024</v>
      </c>
      <c r="D21" s="662"/>
      <c r="E21" s="683">
        <f>I10/12</f>
        <v>-481.1093148233328</v>
      </c>
      <c r="F21" s="683"/>
      <c r="G21" s="684">
        <f>G15</f>
        <v>6.8300000000000001E-3</v>
      </c>
      <c r="H21" s="670">
        <v>12</v>
      </c>
      <c r="I21" s="683">
        <f>G21*E21*H21*-1</f>
        <v>39.431719442920354</v>
      </c>
      <c r="J21" s="683"/>
      <c r="K21" s="683"/>
      <c r="L21" s="683">
        <f>(-I21+E21)*-1</f>
        <v>520.54103426625318</v>
      </c>
    </row>
    <row r="22" spans="2:12" ht="15.75">
      <c r="B22" s="662" t="s">
        <v>567</v>
      </c>
      <c r="C22" s="662" t="str">
        <f>C21</f>
        <v>Year 2024</v>
      </c>
      <c r="D22" s="662"/>
      <c r="E22" s="683">
        <f>+E21</f>
        <v>-481.1093148233328</v>
      </c>
      <c r="F22" s="683"/>
      <c r="G22" s="684">
        <f>+G21</f>
        <v>6.8300000000000001E-3</v>
      </c>
      <c r="H22" s="670">
        <f t="shared" ref="H22:H32" si="0">+H21-1</f>
        <v>11</v>
      </c>
      <c r="I22" s="683">
        <f t="shared" ref="I22:I32" si="1">G22*E22*H22*-1</f>
        <v>36.145742822676993</v>
      </c>
      <c r="J22" s="683"/>
      <c r="K22" s="683"/>
      <c r="L22" s="683">
        <f t="shared" ref="L22:L32" si="2">(-I22+E22)*-1</f>
        <v>517.25505764600985</v>
      </c>
    </row>
    <row r="23" spans="2:12" ht="15.75">
      <c r="B23" s="662" t="s">
        <v>568</v>
      </c>
      <c r="C23" s="662" t="str">
        <f>C21</f>
        <v>Year 2024</v>
      </c>
      <c r="D23" s="662"/>
      <c r="E23" s="683">
        <f t="shared" ref="E23:E32" si="3">+E22</f>
        <v>-481.1093148233328</v>
      </c>
      <c r="F23" s="683"/>
      <c r="G23" s="684">
        <f t="shared" ref="G23:G32" si="4">+G22</f>
        <v>6.8300000000000001E-3</v>
      </c>
      <c r="H23" s="670">
        <f t="shared" si="0"/>
        <v>10</v>
      </c>
      <c r="I23" s="683">
        <f t="shared" si="1"/>
        <v>32.859766202433633</v>
      </c>
      <c r="J23" s="683"/>
      <c r="K23" s="683"/>
      <c r="L23" s="683">
        <f t="shared" si="2"/>
        <v>513.9690810257664</v>
      </c>
    </row>
    <row r="24" spans="2:12" ht="15.75">
      <c r="B24" s="662" t="s">
        <v>569</v>
      </c>
      <c r="C24" s="662" t="str">
        <f>C21</f>
        <v>Year 2024</v>
      </c>
      <c r="D24" s="662"/>
      <c r="E24" s="683">
        <f t="shared" si="3"/>
        <v>-481.1093148233328</v>
      </c>
      <c r="F24" s="683"/>
      <c r="G24" s="684">
        <f t="shared" si="4"/>
        <v>6.8300000000000001E-3</v>
      </c>
      <c r="H24" s="670">
        <f t="shared" si="0"/>
        <v>9</v>
      </c>
      <c r="I24" s="683">
        <f t="shared" si="1"/>
        <v>29.573789582190269</v>
      </c>
      <c r="J24" s="683"/>
      <c r="K24" s="683"/>
      <c r="L24" s="683">
        <f t="shared" si="2"/>
        <v>510.68310440552307</v>
      </c>
    </row>
    <row r="25" spans="2:12" ht="15.75">
      <c r="B25" s="662" t="s">
        <v>570</v>
      </c>
      <c r="C25" s="662" t="str">
        <f>C21</f>
        <v>Year 2024</v>
      </c>
      <c r="D25" s="662"/>
      <c r="E25" s="683">
        <f t="shared" si="3"/>
        <v>-481.1093148233328</v>
      </c>
      <c r="F25" s="683"/>
      <c r="G25" s="684">
        <f t="shared" si="4"/>
        <v>6.8300000000000001E-3</v>
      </c>
      <c r="H25" s="670">
        <f t="shared" si="0"/>
        <v>8</v>
      </c>
      <c r="I25" s="683">
        <f t="shared" si="1"/>
        <v>26.287812961946905</v>
      </c>
      <c r="J25" s="683"/>
      <c r="K25" s="683"/>
      <c r="L25" s="683">
        <f t="shared" si="2"/>
        <v>507.39712778527968</v>
      </c>
    </row>
    <row r="26" spans="2:12" ht="15.75">
      <c r="B26" s="662" t="s">
        <v>571</v>
      </c>
      <c r="C26" s="662" t="str">
        <f>C21</f>
        <v>Year 2024</v>
      </c>
      <c r="D26" s="662"/>
      <c r="E26" s="683">
        <f t="shared" si="3"/>
        <v>-481.1093148233328</v>
      </c>
      <c r="F26" s="683"/>
      <c r="G26" s="684">
        <f t="shared" si="4"/>
        <v>6.8300000000000001E-3</v>
      </c>
      <c r="H26" s="670">
        <f t="shared" si="0"/>
        <v>7</v>
      </c>
      <c r="I26" s="683">
        <f t="shared" si="1"/>
        <v>23.001836341703541</v>
      </c>
      <c r="J26" s="683"/>
      <c r="K26" s="683"/>
      <c r="L26" s="683">
        <f t="shared" si="2"/>
        <v>504.11115116503635</v>
      </c>
    </row>
    <row r="27" spans="2:12" ht="15.75">
      <c r="B27" s="662" t="s">
        <v>572</v>
      </c>
      <c r="C27" s="662" t="str">
        <f>C21</f>
        <v>Year 2024</v>
      </c>
      <c r="D27" s="662"/>
      <c r="E27" s="683">
        <f t="shared" si="3"/>
        <v>-481.1093148233328</v>
      </c>
      <c r="F27" s="683"/>
      <c r="G27" s="684">
        <f t="shared" si="4"/>
        <v>6.8300000000000001E-3</v>
      </c>
      <c r="H27" s="670">
        <f t="shared" si="0"/>
        <v>6</v>
      </c>
      <c r="I27" s="683">
        <f t="shared" si="1"/>
        <v>19.715859721460177</v>
      </c>
      <c r="J27" s="683"/>
      <c r="K27" s="683"/>
      <c r="L27" s="683">
        <f t="shared" si="2"/>
        <v>500.82517454479296</v>
      </c>
    </row>
    <row r="28" spans="2:12" ht="15.75">
      <c r="B28" s="662" t="s">
        <v>573</v>
      </c>
      <c r="C28" s="662" t="str">
        <f>C21</f>
        <v>Year 2024</v>
      </c>
      <c r="D28" s="662"/>
      <c r="E28" s="683">
        <f t="shared" si="3"/>
        <v>-481.1093148233328</v>
      </c>
      <c r="F28" s="683"/>
      <c r="G28" s="684">
        <f t="shared" si="4"/>
        <v>6.8300000000000001E-3</v>
      </c>
      <c r="H28" s="670">
        <f t="shared" si="0"/>
        <v>5</v>
      </c>
      <c r="I28" s="683">
        <f t="shared" si="1"/>
        <v>16.429883101216816</v>
      </c>
      <c r="J28" s="683"/>
      <c r="K28" s="683"/>
      <c r="L28" s="683">
        <f t="shared" si="2"/>
        <v>497.53919792454963</v>
      </c>
    </row>
    <row r="29" spans="2:12" ht="15.75">
      <c r="B29" s="662" t="s">
        <v>574</v>
      </c>
      <c r="C29" s="662" t="str">
        <f>C21</f>
        <v>Year 2024</v>
      </c>
      <c r="D29" s="662"/>
      <c r="E29" s="683">
        <f t="shared" si="3"/>
        <v>-481.1093148233328</v>
      </c>
      <c r="F29" s="683"/>
      <c r="G29" s="684">
        <f t="shared" si="4"/>
        <v>6.8300000000000001E-3</v>
      </c>
      <c r="H29" s="670">
        <f t="shared" si="0"/>
        <v>4</v>
      </c>
      <c r="I29" s="683">
        <f t="shared" si="1"/>
        <v>13.143906480973452</v>
      </c>
      <c r="J29" s="683"/>
      <c r="K29" s="683"/>
      <c r="L29" s="683">
        <f t="shared" si="2"/>
        <v>494.25322130430624</v>
      </c>
    </row>
    <row r="30" spans="2:12" ht="15.75">
      <c r="B30" s="662" t="s">
        <v>575</v>
      </c>
      <c r="C30" s="662" t="str">
        <f>C21</f>
        <v>Year 2024</v>
      </c>
      <c r="D30" s="662"/>
      <c r="E30" s="683">
        <f t="shared" si="3"/>
        <v>-481.1093148233328</v>
      </c>
      <c r="F30" s="683"/>
      <c r="G30" s="684">
        <f t="shared" si="4"/>
        <v>6.8300000000000001E-3</v>
      </c>
      <c r="H30" s="670">
        <f t="shared" si="0"/>
        <v>3</v>
      </c>
      <c r="I30" s="683">
        <f t="shared" si="1"/>
        <v>9.8579298607300885</v>
      </c>
      <c r="J30" s="683"/>
      <c r="K30" s="683"/>
      <c r="L30" s="683">
        <f t="shared" si="2"/>
        <v>490.9672446840629</v>
      </c>
    </row>
    <row r="31" spans="2:12" ht="15.75">
      <c r="B31" s="662" t="s">
        <v>576</v>
      </c>
      <c r="C31" s="662" t="str">
        <f>C21</f>
        <v>Year 2024</v>
      </c>
      <c r="D31" s="662"/>
      <c r="E31" s="683">
        <f t="shared" si="3"/>
        <v>-481.1093148233328</v>
      </c>
      <c r="F31" s="683"/>
      <c r="G31" s="684">
        <f t="shared" si="4"/>
        <v>6.8300000000000001E-3</v>
      </c>
      <c r="H31" s="670">
        <f t="shared" si="0"/>
        <v>2</v>
      </c>
      <c r="I31" s="683">
        <f t="shared" si="1"/>
        <v>6.5719532404867262</v>
      </c>
      <c r="J31" s="683"/>
      <c r="K31" s="683"/>
      <c r="L31" s="683">
        <f t="shared" si="2"/>
        <v>487.68126806381952</v>
      </c>
    </row>
    <row r="32" spans="2:12" ht="15.75">
      <c r="B32" s="662" t="s">
        <v>577</v>
      </c>
      <c r="C32" s="662" t="str">
        <f>C21</f>
        <v>Year 2024</v>
      </c>
      <c r="D32" s="662"/>
      <c r="E32" s="683">
        <f t="shared" si="3"/>
        <v>-481.1093148233328</v>
      </c>
      <c r="F32" s="683"/>
      <c r="G32" s="684">
        <f t="shared" si="4"/>
        <v>6.8300000000000001E-3</v>
      </c>
      <c r="H32" s="670">
        <f t="shared" si="0"/>
        <v>1</v>
      </c>
      <c r="I32" s="685">
        <f t="shared" si="1"/>
        <v>3.2859766202433631</v>
      </c>
      <c r="J32" s="683"/>
      <c r="K32" s="683"/>
      <c r="L32" s="683">
        <f t="shared" si="2"/>
        <v>484.39529144357618</v>
      </c>
    </row>
    <row r="33" spans="2:12" ht="15.75">
      <c r="B33" s="662"/>
      <c r="C33" s="662"/>
      <c r="D33" s="662"/>
      <c r="E33" s="683"/>
      <c r="F33" s="683"/>
      <c r="G33" s="684"/>
      <c r="H33" s="662"/>
      <c r="I33" s="683">
        <f>SUM(I21:I32)</f>
        <v>256.30617637898234</v>
      </c>
      <c r="J33" s="683"/>
      <c r="K33" s="683"/>
      <c r="L33" s="686">
        <f>SUM(L21:L32)</f>
        <v>6029.6179542589762</v>
      </c>
    </row>
    <row r="34" spans="2:12" ht="15.75">
      <c r="B34" s="662"/>
      <c r="C34" s="662"/>
      <c r="D34" s="662"/>
      <c r="E34" s="683"/>
      <c r="F34" s="683"/>
      <c r="G34" s="684"/>
      <c r="H34" s="662"/>
      <c r="I34" s="683"/>
      <c r="J34" s="683" t="s">
        <v>406</v>
      </c>
      <c r="K34" s="683"/>
      <c r="L34" s="133"/>
    </row>
    <row r="35" spans="2:12" ht="15.75">
      <c r="B35" s="662"/>
      <c r="C35" s="662"/>
      <c r="D35" s="662"/>
      <c r="E35" s="669"/>
      <c r="F35" s="669"/>
      <c r="G35" s="684"/>
      <c r="H35" s="662"/>
      <c r="I35" s="687" t="s">
        <v>578</v>
      </c>
      <c r="J35" s="683"/>
      <c r="K35" s="683"/>
      <c r="L35" s="683"/>
    </row>
    <row r="36" spans="2:12" ht="15.75">
      <c r="B36" s="662" t="s">
        <v>579</v>
      </c>
      <c r="C36" s="662" t="str">
        <f>"Year "&amp;TCOS!L4-1</f>
        <v>Year 2025</v>
      </c>
      <c r="D36" s="662"/>
      <c r="E36" s="669">
        <f>L33</f>
        <v>6029.6179542589762</v>
      </c>
      <c r="F36" s="669"/>
      <c r="G36" s="684">
        <f>G32</f>
        <v>6.8300000000000001E-3</v>
      </c>
      <c r="H36" s="670">
        <v>12</v>
      </c>
      <c r="I36" s="683">
        <f>+H36*G36*E36</f>
        <v>494.1874875310657</v>
      </c>
      <c r="J36" s="683"/>
      <c r="K36" s="683"/>
      <c r="L36" s="686">
        <f>+E36+I36</f>
        <v>6523.8054417900421</v>
      </c>
    </row>
    <row r="37" spans="2:12" ht="15.75">
      <c r="B37" s="662"/>
      <c r="C37" s="662"/>
      <c r="D37" s="662"/>
      <c r="E37" s="669"/>
      <c r="F37" s="669"/>
      <c r="G37" s="684"/>
      <c r="H37" s="662"/>
      <c r="I37" s="683"/>
      <c r="J37" s="683"/>
      <c r="K37" s="683"/>
      <c r="L37" s="683"/>
    </row>
    <row r="38" spans="2:12" ht="15.75">
      <c r="B38" s="688" t="s">
        <v>580</v>
      </c>
      <c r="C38" s="662"/>
      <c r="D38" s="662"/>
      <c r="E38" s="683"/>
      <c r="F38" s="683"/>
      <c r="G38" s="684"/>
      <c r="H38" s="662"/>
      <c r="I38" s="687" t="s">
        <v>565</v>
      </c>
      <c r="J38" s="683"/>
      <c r="K38" s="683"/>
      <c r="L38" s="683"/>
    </row>
    <row r="39" spans="2:12" ht="15.75">
      <c r="B39" s="662" t="s">
        <v>566</v>
      </c>
      <c r="C39" s="662" t="str">
        <f>"Year "&amp;TCOS!L4</f>
        <v>Year 2026</v>
      </c>
      <c r="D39" s="662"/>
      <c r="E39" s="669">
        <f>-L36</f>
        <v>-6523.8054417900421</v>
      </c>
      <c r="F39" s="669"/>
      <c r="G39" s="684">
        <f>G15</f>
        <v>6.8300000000000001E-3</v>
      </c>
      <c r="H39" s="670" t="s">
        <v>406</v>
      </c>
      <c r="I39" s="683">
        <f xml:space="preserve"> -G39*E39</f>
        <v>44.55759116742599</v>
      </c>
      <c r="J39" s="683">
        <f>PMT(G39,12,L$36)</f>
        <v>-568.08696921403248</v>
      </c>
      <c r="K39" s="683"/>
      <c r="L39" s="683">
        <f>(+E39+E39*G39-J39)*-1</f>
        <v>6000.2760637434358</v>
      </c>
    </row>
    <row r="40" spans="2:12" ht="15.75">
      <c r="B40" s="662" t="s">
        <v>567</v>
      </c>
      <c r="C40" s="662" t="str">
        <f>+C39</f>
        <v>Year 2026</v>
      </c>
      <c r="D40" s="662"/>
      <c r="E40" s="669">
        <f>-L39</f>
        <v>-6000.2760637434358</v>
      </c>
      <c r="F40" s="669"/>
      <c r="G40" s="684">
        <f>+G39</f>
        <v>6.8300000000000001E-3</v>
      </c>
      <c r="H40" s="670" t="s">
        <v>406</v>
      </c>
      <c r="I40" s="683">
        <f xml:space="preserve"> -G40*E40</f>
        <v>40.981885515367665</v>
      </c>
      <c r="J40" s="683">
        <f>J39</f>
        <v>-568.08696921403248</v>
      </c>
      <c r="K40" s="683"/>
      <c r="L40" s="683">
        <f t="shared" ref="L40:L50" si="5">(+E40+E40*G40-J40)*-1</f>
        <v>5473.1709800447716</v>
      </c>
    </row>
    <row r="41" spans="2:12" ht="15.75">
      <c r="B41" s="662" t="s">
        <v>568</v>
      </c>
      <c r="C41" s="662" t="str">
        <f>+C40</f>
        <v>Year 2026</v>
      </c>
      <c r="D41" s="662"/>
      <c r="E41" s="669">
        <f t="shared" ref="E41:E50" si="6">-L40</f>
        <v>-5473.1709800447716</v>
      </c>
      <c r="F41" s="669"/>
      <c r="G41" s="684">
        <f t="shared" ref="G41:G50" si="7">+G40</f>
        <v>6.8300000000000001E-3</v>
      </c>
      <c r="H41" s="670" t="s">
        <v>406</v>
      </c>
      <c r="I41" s="683">
        <f t="shared" ref="I41:I50" si="8" xml:space="preserve"> -G41*E41</f>
        <v>37.381757793705788</v>
      </c>
      <c r="J41" s="683">
        <f t="shared" ref="J41:J50" si="9">J40</f>
        <v>-568.08696921403248</v>
      </c>
      <c r="K41" s="683"/>
      <c r="L41" s="683">
        <f t="shared" si="5"/>
        <v>4942.4657686244454</v>
      </c>
    </row>
    <row r="42" spans="2:12" ht="15.75">
      <c r="B42" s="662" t="s">
        <v>569</v>
      </c>
      <c r="C42" s="662" t="str">
        <f>+C41</f>
        <v>Year 2026</v>
      </c>
      <c r="D42" s="662"/>
      <c r="E42" s="669">
        <f t="shared" si="6"/>
        <v>-4942.4657686244454</v>
      </c>
      <c r="F42" s="669"/>
      <c r="G42" s="684">
        <f t="shared" si="7"/>
        <v>6.8300000000000001E-3</v>
      </c>
      <c r="H42" s="670" t="s">
        <v>406</v>
      </c>
      <c r="I42" s="683">
        <f t="shared" si="8"/>
        <v>33.757041199704965</v>
      </c>
      <c r="J42" s="683">
        <f t="shared" si="9"/>
        <v>-568.08696921403248</v>
      </c>
      <c r="K42" s="683"/>
      <c r="L42" s="683">
        <f t="shared" si="5"/>
        <v>4408.1358406101181</v>
      </c>
    </row>
    <row r="43" spans="2:12" ht="15.75">
      <c r="B43" s="662" t="s">
        <v>570</v>
      </c>
      <c r="C43" s="662" t="str">
        <f>+C42</f>
        <v>Year 2026</v>
      </c>
      <c r="D43" s="662"/>
      <c r="E43" s="669">
        <f t="shared" si="6"/>
        <v>-4408.1358406101181</v>
      </c>
      <c r="F43" s="669"/>
      <c r="G43" s="684">
        <f t="shared" si="7"/>
        <v>6.8300000000000001E-3</v>
      </c>
      <c r="H43" s="670" t="s">
        <v>406</v>
      </c>
      <c r="I43" s="683">
        <f t="shared" si="8"/>
        <v>30.107567791367106</v>
      </c>
      <c r="J43" s="683">
        <f>J42</f>
        <v>-568.08696921403248</v>
      </c>
      <c r="K43" s="683"/>
      <c r="L43" s="683">
        <f t="shared" si="5"/>
        <v>3870.1564391874526</v>
      </c>
    </row>
    <row r="44" spans="2:12" ht="15.75">
      <c r="B44" s="662" t="s">
        <v>571</v>
      </c>
      <c r="C44" s="662" t="str">
        <f>C43</f>
        <v>Year 2026</v>
      </c>
      <c r="D44" s="133"/>
      <c r="E44" s="669">
        <f t="shared" si="6"/>
        <v>-3870.1564391874526</v>
      </c>
      <c r="F44" s="669"/>
      <c r="G44" s="684">
        <f t="shared" si="7"/>
        <v>6.8300000000000001E-3</v>
      </c>
      <c r="H44" s="670" t="s">
        <v>406</v>
      </c>
      <c r="I44" s="683">
        <f t="shared" si="8"/>
        <v>26.433168479650302</v>
      </c>
      <c r="J44" s="683">
        <f t="shared" si="9"/>
        <v>-568.08696921403248</v>
      </c>
      <c r="K44" s="683"/>
      <c r="L44" s="683">
        <f t="shared" si="5"/>
        <v>3328.5026384530702</v>
      </c>
    </row>
    <row r="45" spans="2:12" ht="15.75">
      <c r="B45" s="662" t="s">
        <v>572</v>
      </c>
      <c r="C45" s="662" t="str">
        <f t="shared" ref="C45:C50" si="10">+C44</f>
        <v>Year 2026</v>
      </c>
      <c r="D45" s="662"/>
      <c r="E45" s="669">
        <f t="shared" si="6"/>
        <v>-3328.5026384530702</v>
      </c>
      <c r="F45" s="669"/>
      <c r="G45" s="684">
        <f t="shared" si="7"/>
        <v>6.8300000000000001E-3</v>
      </c>
      <c r="H45" s="670" t="s">
        <v>406</v>
      </c>
      <c r="I45" s="683">
        <f t="shared" si="8"/>
        <v>22.73367302063447</v>
      </c>
      <c r="J45" s="683">
        <f t="shared" si="9"/>
        <v>-568.08696921403248</v>
      </c>
      <c r="K45" s="683"/>
      <c r="L45" s="683">
        <f t="shared" si="5"/>
        <v>2783.1493422596723</v>
      </c>
    </row>
    <row r="46" spans="2:12" ht="15.75">
      <c r="B46" s="662" t="s">
        <v>573</v>
      </c>
      <c r="C46" s="662" t="str">
        <f t="shared" si="10"/>
        <v>Year 2026</v>
      </c>
      <c r="D46" s="662"/>
      <c r="E46" s="669">
        <f t="shared" si="6"/>
        <v>-2783.1493422596723</v>
      </c>
      <c r="F46" s="669"/>
      <c r="G46" s="684">
        <f t="shared" si="7"/>
        <v>6.8300000000000001E-3</v>
      </c>
      <c r="H46" s="670" t="s">
        <v>406</v>
      </c>
      <c r="I46" s="683">
        <f t="shared" si="8"/>
        <v>19.008910007633563</v>
      </c>
      <c r="J46" s="683">
        <f t="shared" si="9"/>
        <v>-568.08696921403248</v>
      </c>
      <c r="K46" s="683"/>
      <c r="L46" s="683">
        <f t="shared" si="5"/>
        <v>2234.071283053273</v>
      </c>
    </row>
    <row r="47" spans="2:12" ht="15.75">
      <c r="B47" s="662" t="s">
        <v>574</v>
      </c>
      <c r="C47" s="662" t="str">
        <f t="shared" si="10"/>
        <v>Year 2026</v>
      </c>
      <c r="D47" s="662"/>
      <c r="E47" s="669">
        <f t="shared" si="6"/>
        <v>-2234.071283053273</v>
      </c>
      <c r="F47" s="669"/>
      <c r="G47" s="684">
        <f t="shared" si="7"/>
        <v>6.8300000000000001E-3</v>
      </c>
      <c r="H47" s="670" t="s">
        <v>406</v>
      </c>
      <c r="I47" s="683">
        <f t="shared" si="8"/>
        <v>15.258706863253854</v>
      </c>
      <c r="J47" s="683">
        <f>J46</f>
        <v>-568.08696921403248</v>
      </c>
      <c r="K47" s="683"/>
      <c r="L47" s="683">
        <f t="shared" si="5"/>
        <v>1681.2430207024943</v>
      </c>
    </row>
    <row r="48" spans="2:12" ht="15.75">
      <c r="B48" s="662" t="s">
        <v>575</v>
      </c>
      <c r="C48" s="662" t="str">
        <f t="shared" si="10"/>
        <v>Year 2026</v>
      </c>
      <c r="D48" s="662"/>
      <c r="E48" s="669">
        <f t="shared" si="6"/>
        <v>-1681.2430207024943</v>
      </c>
      <c r="F48" s="669"/>
      <c r="G48" s="684">
        <f t="shared" si="7"/>
        <v>6.8300000000000001E-3</v>
      </c>
      <c r="H48" s="670" t="s">
        <v>406</v>
      </c>
      <c r="I48" s="683">
        <f t="shared" si="8"/>
        <v>11.482889831398037</v>
      </c>
      <c r="J48" s="683">
        <f t="shared" si="9"/>
        <v>-568.08696921403248</v>
      </c>
      <c r="K48" s="683"/>
      <c r="L48" s="683">
        <f t="shared" si="5"/>
        <v>1124.6389413198599</v>
      </c>
    </row>
    <row r="49" spans="2:12" ht="15.75">
      <c r="B49" s="662" t="s">
        <v>576</v>
      </c>
      <c r="C49" s="662" t="str">
        <f t="shared" si="10"/>
        <v>Year 2026</v>
      </c>
      <c r="D49" s="662"/>
      <c r="E49" s="669">
        <f t="shared" si="6"/>
        <v>-1124.6389413198599</v>
      </c>
      <c r="F49" s="669"/>
      <c r="G49" s="684">
        <f t="shared" si="7"/>
        <v>6.8300000000000001E-3</v>
      </c>
      <c r="H49" s="670" t="s">
        <v>406</v>
      </c>
      <c r="I49" s="683">
        <f t="shared" si="8"/>
        <v>7.6812839692146433</v>
      </c>
      <c r="J49" s="683">
        <f t="shared" si="9"/>
        <v>-568.08696921403248</v>
      </c>
      <c r="K49" s="683"/>
      <c r="L49" s="683">
        <f t="shared" si="5"/>
        <v>564.23325607504216</v>
      </c>
    </row>
    <row r="50" spans="2:12" ht="15.75">
      <c r="B50" s="662" t="s">
        <v>577</v>
      </c>
      <c r="C50" s="662" t="str">
        <f t="shared" si="10"/>
        <v>Year 2026</v>
      </c>
      <c r="D50" s="662"/>
      <c r="E50" s="669">
        <f t="shared" si="6"/>
        <v>-564.23325607504216</v>
      </c>
      <c r="F50" s="669"/>
      <c r="G50" s="684">
        <f t="shared" si="7"/>
        <v>6.8300000000000001E-3</v>
      </c>
      <c r="H50" s="670" t="s">
        <v>406</v>
      </c>
      <c r="I50" s="685">
        <f t="shared" si="8"/>
        <v>3.8537131389925379</v>
      </c>
      <c r="J50" s="683">
        <f t="shared" si="9"/>
        <v>-568.08696921403248</v>
      </c>
      <c r="K50" s="683"/>
      <c r="L50" s="683">
        <f t="shared" si="5"/>
        <v>2.2737367544323206E-12</v>
      </c>
    </row>
    <row r="51" spans="2:12" ht="15.75">
      <c r="B51" s="662"/>
      <c r="C51" s="662"/>
      <c r="D51" s="662"/>
      <c r="E51" s="669"/>
      <c r="F51" s="669"/>
      <c r="G51" s="684"/>
      <c r="H51" s="662"/>
      <c r="I51" s="683">
        <f>SUM(I39:I50)</f>
        <v>293.2381887783489</v>
      </c>
      <c r="J51" s="683"/>
      <c r="K51" s="683"/>
      <c r="L51" s="683"/>
    </row>
    <row r="52" spans="2:12" ht="15">
      <c r="B52" s="133"/>
      <c r="C52" s="133"/>
      <c r="D52" s="133"/>
      <c r="E52" s="133"/>
      <c r="F52" s="133"/>
      <c r="G52" s="133"/>
      <c r="H52" s="133"/>
      <c r="I52" s="133"/>
      <c r="J52" s="689"/>
      <c r="K52" s="133"/>
      <c r="L52" s="133"/>
    </row>
    <row r="53" spans="2:12" ht="15.75">
      <c r="B53" s="662" t="s">
        <v>581</v>
      </c>
      <c r="C53" s="133"/>
      <c r="D53" s="133"/>
      <c r="E53" s="133"/>
      <c r="F53" s="133"/>
      <c r="G53" s="133"/>
      <c r="H53" s="133"/>
      <c r="I53" s="133"/>
      <c r="J53" s="690">
        <f>(SUM(J39:J50)*-1)</f>
        <v>6817.0436305683879</v>
      </c>
      <c r="K53" s="133"/>
      <c r="L53" s="133"/>
    </row>
    <row r="54" spans="2:12" ht="15.75">
      <c r="B54" s="662" t="s">
        <v>582</v>
      </c>
      <c r="C54" s="133"/>
      <c r="D54" s="133"/>
      <c r="E54" s="133"/>
      <c r="F54" s="133"/>
      <c r="G54" s="133"/>
      <c r="H54" s="133"/>
      <c r="I54" s="133"/>
      <c r="J54" s="691">
        <f>+I10</f>
        <v>-5773.3117778799933</v>
      </c>
      <c r="K54" s="133"/>
      <c r="L54" s="133"/>
    </row>
    <row r="55" spans="2:12" ht="15.75">
      <c r="B55" s="662" t="s">
        <v>583</v>
      </c>
      <c r="C55" s="133"/>
      <c r="D55" s="133"/>
      <c r="E55" s="133"/>
      <c r="F55" s="133"/>
      <c r="G55" s="133"/>
      <c r="H55" s="133"/>
      <c r="I55" s="133"/>
      <c r="J55" s="690">
        <f>(J53+J54)</f>
        <v>1043.7318526883946</v>
      </c>
      <c r="K55" s="133"/>
      <c r="L55" s="133"/>
    </row>
    <row r="57" spans="2:12" ht="81" customHeight="1">
      <c r="B57" s="1225" t="s">
        <v>584</v>
      </c>
      <c r="C57" s="1225"/>
      <c r="D57" s="1225"/>
      <c r="E57" s="1225"/>
      <c r="F57" s="1225"/>
      <c r="G57" s="1225"/>
      <c r="H57" s="965"/>
      <c r="I57" s="965"/>
      <c r="J57" s="965"/>
      <c r="K57" s="965"/>
      <c r="L57" s="965"/>
    </row>
  </sheetData>
  <mergeCells count="5">
    <mergeCell ref="B1:L1"/>
    <mergeCell ref="B2:L2"/>
    <mergeCell ref="B3:L3"/>
    <mergeCell ref="E4:H4"/>
    <mergeCell ref="B57:G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tabSelected="1" zoomScale="75" zoomScaleNormal="75" workbookViewId="0">
      <selection activeCell="L25" sqref="L25"/>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39" t="s">
        <v>406</v>
      </c>
    </row>
    <row r="2" spans="1:12" ht="15.75">
      <c r="A2" s="739" t="s">
        <v>406</v>
      </c>
    </row>
    <row r="3" spans="1:12"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7"/>
    </row>
    <row r="4" spans="1:12" ht="15">
      <c r="A4" s="1141" t="str">
        <f>"Cost of Service Formula Rate Using Actual/Projected FF1 Balances"</f>
        <v>Cost of Service Formula Rate Using Actual/Projected FF1 Balances</v>
      </c>
      <c r="B4" s="1141"/>
      <c r="C4" s="1141"/>
      <c r="D4" s="1141"/>
      <c r="E4" s="1141"/>
      <c r="F4" s="1141"/>
      <c r="G4" s="1141"/>
      <c r="H4" s="1141"/>
      <c r="I4" s="1141"/>
      <c r="J4" s="45"/>
    </row>
    <row r="5" spans="1:12" ht="15">
      <c r="A5" s="1141" t="s">
        <v>262</v>
      </c>
      <c r="B5" s="1141"/>
      <c r="C5" s="1141"/>
      <c r="D5" s="1141"/>
      <c r="E5" s="1141"/>
      <c r="F5" s="1141"/>
      <c r="G5" s="1141"/>
      <c r="H5" s="1141"/>
      <c r="I5" s="1141"/>
      <c r="J5" s="44"/>
    </row>
    <row r="6" spans="1:12" ht="15">
      <c r="A6" s="1151" t="str">
        <f>TCOS!F9</f>
        <v>AEP Appalachian Transmission Company</v>
      </c>
      <c r="B6" s="1151"/>
      <c r="C6" s="1151"/>
      <c r="D6" s="1151"/>
      <c r="E6" s="1151"/>
      <c r="F6" s="1151"/>
      <c r="G6" s="1151"/>
      <c r="H6" s="1151"/>
      <c r="I6" s="1151"/>
      <c r="J6" s="2"/>
    </row>
    <row r="7" spans="1:12">
      <c r="C7" s="13"/>
      <c r="D7" s="13"/>
    </row>
    <row r="8" spans="1:12" ht="15">
      <c r="A8" s="711"/>
      <c r="B8" s="720"/>
      <c r="C8" s="724" t="s">
        <v>452</v>
      </c>
      <c r="D8" s="724" t="s">
        <v>453</v>
      </c>
      <c r="E8" s="724" t="s">
        <v>454</v>
      </c>
      <c r="F8" s="711"/>
      <c r="G8" s="724" t="s">
        <v>455</v>
      </c>
      <c r="H8" s="711"/>
      <c r="I8" s="724" t="s">
        <v>375</v>
      </c>
      <c r="J8" s="4"/>
      <c r="K8"/>
      <c r="L8"/>
    </row>
    <row r="9" spans="1:12" ht="15">
      <c r="A9" s="710"/>
      <c r="B9" s="720"/>
      <c r="C9" s="711"/>
      <c r="D9" s="711"/>
      <c r="E9" s="711"/>
      <c r="F9" s="711"/>
      <c r="G9" s="711"/>
      <c r="H9" s="711"/>
      <c r="I9" s="725"/>
      <c r="J9"/>
      <c r="K9"/>
      <c r="L9"/>
    </row>
    <row r="10" spans="1:12" ht="12.75" customHeight="1">
      <c r="A10" s="723" t="s">
        <v>459</v>
      </c>
      <c r="B10" s="720"/>
      <c r="C10" s="726"/>
      <c r="D10" s="726"/>
      <c r="E10" s="1149" t="str">
        <f>"Balance @    December 31, "&amp;TCOS!L4&amp;""</f>
        <v>Balance @    December 31, 2026</v>
      </c>
      <c r="F10" s="727"/>
      <c r="G10" s="1149" t="str">
        <f>"Balance @     December 31, "&amp;TCOS!L4-1&amp;""</f>
        <v>Balance @     December 31, 2025</v>
      </c>
      <c r="H10" s="727"/>
      <c r="I10" s="1152" t="str">
        <f>"Average Balance for "&amp;TCOS!L4&amp;""</f>
        <v>Average Balance for 2026</v>
      </c>
      <c r="J10"/>
      <c r="K10"/>
      <c r="L10"/>
    </row>
    <row r="11" spans="1:12" ht="15">
      <c r="A11" s="730" t="s">
        <v>397</v>
      </c>
      <c r="B11" s="728"/>
      <c r="C11" s="723" t="s">
        <v>457</v>
      </c>
      <c r="D11" s="723" t="s">
        <v>488</v>
      </c>
      <c r="E11" s="1150"/>
      <c r="F11" s="729"/>
      <c r="G11" s="1150"/>
      <c r="H11" s="729"/>
      <c r="I11" s="1150"/>
      <c r="J11"/>
      <c r="K11"/>
      <c r="L11"/>
    </row>
    <row r="12" spans="1:12">
      <c r="A12" s="43"/>
      <c r="C12" s="13"/>
      <c r="D12" s="13"/>
      <c r="G12" s="96"/>
    </row>
    <row r="13" spans="1:12">
      <c r="A13" s="43"/>
      <c r="C13" s="13"/>
      <c r="D13" s="13"/>
    </row>
    <row r="14" spans="1:12">
      <c r="A14" s="43"/>
      <c r="C14" s="13"/>
      <c r="D14" s="13"/>
    </row>
    <row r="15" spans="1:12" ht="15.75">
      <c r="A15" s="43">
        <v>1</v>
      </c>
      <c r="C15" s="28" t="s">
        <v>295</v>
      </c>
      <c r="D15" s="28"/>
    </row>
    <row r="16" spans="1:12" ht="15.75">
      <c r="A16" s="43"/>
      <c r="C16" s="28"/>
      <c r="D16" s="723"/>
      <c r="H16"/>
    </row>
    <row r="17" spans="1:9" ht="14.25">
      <c r="A17" s="43">
        <f>+A15+1</f>
        <v>2</v>
      </c>
      <c r="C17" s="717" t="s">
        <v>301</v>
      </c>
      <c r="D17" s="721" t="s">
        <v>303</v>
      </c>
      <c r="E17" s="709">
        <v>0</v>
      </c>
      <c r="F17" s="711"/>
      <c r="G17" s="709">
        <v>0</v>
      </c>
      <c r="H17" s="714"/>
      <c r="I17" s="715">
        <f>IF(G17="",0,(E17+G17)/2)</f>
        <v>0</v>
      </c>
    </row>
    <row r="18" spans="1:9" ht="14.25">
      <c r="A18" s="43">
        <f>+A17+1</f>
        <v>3</v>
      </c>
      <c r="C18" s="717" t="s">
        <v>305</v>
      </c>
      <c r="D18" s="710" t="str">
        <f>"WS B-1 - Actual Stmt. AF Ln. " &amp;'WS B-1 - Actual Stmt. AF'!A24&amp;" (Note 1)"</f>
        <v>WS B-1 - Actual Stmt. AF Ln. 4 (Note 1)</v>
      </c>
      <c r="E18" s="709">
        <v>0</v>
      </c>
      <c r="F18" s="711"/>
      <c r="G18" s="709">
        <v>0</v>
      </c>
      <c r="H18" s="714"/>
      <c r="I18" s="715">
        <f>IF(G18="",0,(E18+G18)/2)</f>
        <v>0</v>
      </c>
    </row>
    <row r="19" spans="1:9" ht="16.5">
      <c r="A19" s="43">
        <f>+A18+1</f>
        <v>4</v>
      </c>
      <c r="C19" s="717" t="s">
        <v>306</v>
      </c>
      <c r="D19" s="710" t="str">
        <f>"WS B-1 - Actual Stmt. AF Ln. " &amp;'WS B-1 - Actual Stmt. AF'!A23&amp;" (Note 1)"</f>
        <v>WS B-1 - Actual Stmt. AF Ln. 3 (Note 1)</v>
      </c>
      <c r="E19" s="713">
        <v>0</v>
      </c>
      <c r="F19" s="711"/>
      <c r="G19" s="713">
        <v>0</v>
      </c>
      <c r="H19" s="711"/>
      <c r="I19" s="716">
        <f>IF(G19="",0,(E19+G19)/2)</f>
        <v>0</v>
      </c>
    </row>
    <row r="20" spans="1:9" ht="14.25">
      <c r="A20" s="43">
        <f>+A19+1</f>
        <v>5</v>
      </c>
      <c r="C20" s="717" t="s">
        <v>302</v>
      </c>
      <c r="D20" s="722" t="str">
        <f>"Ln "&amp;A17&amp;" - ln "&amp;A18&amp;" - ln "&amp;A19&amp;""</f>
        <v>Ln 2 - ln 3 - ln 4</v>
      </c>
      <c r="E20" s="712">
        <f>+E17-E18-E19</f>
        <v>0</v>
      </c>
      <c r="F20" s="711"/>
      <c r="G20" s="712">
        <f>+G17-G18-G19</f>
        <v>0</v>
      </c>
      <c r="H20" s="711"/>
      <c r="I20" s="715">
        <f>+I17-I18-I19</f>
        <v>0</v>
      </c>
    </row>
    <row r="21" spans="1:9" ht="14.25">
      <c r="A21" s="43"/>
      <c r="C21" s="36"/>
      <c r="D21" s="717"/>
      <c r="E21" s="711"/>
      <c r="F21" s="711"/>
      <c r="G21" s="711"/>
      <c r="H21" s="711"/>
      <c r="I21" s="711"/>
    </row>
    <row r="22" spans="1:9" ht="14.25">
      <c r="A22" s="43"/>
      <c r="C22" s="36"/>
      <c r="D22" s="717"/>
      <c r="E22" s="711"/>
      <c r="F22" s="711"/>
      <c r="G22" s="711"/>
      <c r="H22" s="711"/>
      <c r="I22" s="711"/>
    </row>
    <row r="23" spans="1:9" ht="15.75">
      <c r="A23" s="43">
        <f>+A20+1</f>
        <v>6</v>
      </c>
      <c r="C23" s="28" t="s">
        <v>296</v>
      </c>
      <c r="D23" s="717"/>
      <c r="E23" s="711"/>
      <c r="F23" s="711"/>
      <c r="G23" s="711"/>
      <c r="H23" s="711"/>
      <c r="I23" s="711"/>
    </row>
    <row r="24" spans="1:9" ht="14.25">
      <c r="A24" s="43"/>
      <c r="C24" s="36"/>
      <c r="D24" s="717"/>
      <c r="E24" s="711"/>
      <c r="F24" s="711"/>
      <c r="G24" s="711"/>
      <c r="H24" s="711"/>
      <c r="I24" s="711"/>
    </row>
    <row r="25" spans="1:9" ht="14.25">
      <c r="A25" s="43">
        <f>+A23+1</f>
        <v>7</v>
      </c>
      <c r="C25" s="717" t="s">
        <v>301</v>
      </c>
      <c r="D25" s="721" t="s">
        <v>229</v>
      </c>
      <c r="E25" s="709">
        <v>11551445.491541995</v>
      </c>
      <c r="F25" s="711"/>
      <c r="G25" s="709">
        <v>9782067.4620700218</v>
      </c>
      <c r="H25" s="714"/>
      <c r="I25" s="715">
        <f>IF(G25="",0,(E25+G25)/2)</f>
        <v>10666756.476806007</v>
      </c>
    </row>
    <row r="26" spans="1:9" ht="14.25">
      <c r="A26" s="43">
        <f>+A25+1</f>
        <v>8</v>
      </c>
      <c r="C26" s="717" t="s">
        <v>305</v>
      </c>
      <c r="D26" s="710" t="str">
        <f>"WS B-1 - Actual Stmt. AF Ln. " &amp;'WS B-1 - Actual Stmt. AF'!A72&amp;" (Note 1)"</f>
        <v>WS B-1 - Actual Stmt. AF Ln. 7 (Note 1)</v>
      </c>
      <c r="E26" s="709">
        <v>0</v>
      </c>
      <c r="F26" s="711"/>
      <c r="G26" s="709">
        <v>0</v>
      </c>
      <c r="H26" s="714"/>
      <c r="I26" s="715">
        <f>IF(G26="",0,(E26+G26)/2)</f>
        <v>0</v>
      </c>
    </row>
    <row r="27" spans="1:9" ht="16.5">
      <c r="A27" s="43">
        <f>+A26+1</f>
        <v>9</v>
      </c>
      <c r="C27" s="717" t="s">
        <v>306</v>
      </c>
      <c r="D27" s="710" t="str">
        <f>"WS B-1 - Actual Stmt. AF Ln. " &amp;'WS B-1 - Actual Stmt. AF'!A71&amp;" (Note 1)"</f>
        <v>WS B-1 - Actual Stmt. AF Ln. 6 (Note 1)</v>
      </c>
      <c r="E27" s="713">
        <v>1936470.3772242609</v>
      </c>
      <c r="F27" s="711"/>
      <c r="G27" s="713">
        <v>981894.96999999881</v>
      </c>
      <c r="H27" s="711"/>
      <c r="I27" s="716">
        <f>IF(G27="",0,(E27+G27)/2)</f>
        <v>1459182.6736121299</v>
      </c>
    </row>
    <row r="28" spans="1:9" ht="14.25">
      <c r="A28" s="43">
        <f>+A27+1</f>
        <v>10</v>
      </c>
      <c r="C28" s="717" t="s">
        <v>302</v>
      </c>
      <c r="D28" s="722" t="str">
        <f>"Ln "&amp;A25&amp;" - ln "&amp;A26&amp;" - ln "&amp;A27&amp;""</f>
        <v>Ln 7 - ln 8 - ln 9</v>
      </c>
      <c r="E28" s="712">
        <f>+E25-E26-E27</f>
        <v>9614975.1143177338</v>
      </c>
      <c r="F28" s="711"/>
      <c r="G28" s="712">
        <f>+G25-G26-G27</f>
        <v>8800172.492070023</v>
      </c>
      <c r="H28" s="711"/>
      <c r="I28" s="715">
        <f>+I25-I26-I27</f>
        <v>9207573.8031938784</v>
      </c>
    </row>
    <row r="29" spans="1:9" ht="14.25">
      <c r="A29" s="43"/>
      <c r="C29" s="36"/>
      <c r="D29" s="717"/>
      <c r="E29" s="711"/>
      <c r="F29" s="711"/>
      <c r="G29" s="711"/>
      <c r="H29" s="711"/>
      <c r="I29" s="711"/>
    </row>
    <row r="30" spans="1:9" ht="14.25">
      <c r="A30" s="43"/>
      <c r="C30" s="36"/>
      <c r="D30" s="717"/>
      <c r="E30" s="712"/>
      <c r="F30" s="711"/>
      <c r="G30" s="712"/>
      <c r="H30" s="711"/>
      <c r="I30" s="711"/>
    </row>
    <row r="31" spans="1:9" ht="15.75">
      <c r="A31" s="43">
        <f>+A28+1</f>
        <v>11</v>
      </c>
      <c r="C31" s="28" t="s">
        <v>297</v>
      </c>
      <c r="D31" s="717"/>
      <c r="E31" s="711"/>
      <c r="F31" s="711"/>
      <c r="G31" s="711"/>
      <c r="H31" s="711"/>
      <c r="I31" s="711"/>
    </row>
    <row r="32" spans="1:9" ht="15.75">
      <c r="A32" s="43"/>
      <c r="C32" s="28"/>
      <c r="D32" s="717"/>
      <c r="E32" s="711"/>
      <c r="F32" s="711"/>
      <c r="G32" s="711"/>
      <c r="H32" s="711"/>
      <c r="I32" s="711"/>
    </row>
    <row r="33" spans="1:9" ht="14.25">
      <c r="A33" s="43">
        <f>+A31+1</f>
        <v>12</v>
      </c>
      <c r="C33" s="717" t="s">
        <v>301</v>
      </c>
      <c r="D33" s="721" t="s">
        <v>304</v>
      </c>
      <c r="E33" s="709">
        <v>3226177.8762268396</v>
      </c>
      <c r="F33" s="711"/>
      <c r="G33" s="709">
        <v>3166888.5231061187</v>
      </c>
      <c r="H33" s="714"/>
      <c r="I33" s="715">
        <f>IF(G33="",0,(E33+G33)/2)</f>
        <v>3196533.1996664791</v>
      </c>
    </row>
    <row r="34" spans="1:9" ht="14.25">
      <c r="A34" s="43">
        <f>+A33+1</f>
        <v>13</v>
      </c>
      <c r="C34" s="717" t="s">
        <v>305</v>
      </c>
      <c r="D34" s="710" t="str">
        <f>"WS B-1 - Actual Stmt. AF Ln. " &amp;'WS B-1 - Actual Stmt. AF'!A184&amp;" (Note 1)"</f>
        <v>WS B-1 - Actual Stmt. AF Ln. 13 (Note 1)</v>
      </c>
      <c r="E34" s="709">
        <v>0</v>
      </c>
      <c r="F34" s="711"/>
      <c r="G34" s="709">
        <v>0</v>
      </c>
      <c r="H34" s="714"/>
      <c r="I34" s="715">
        <f>IF(G34="",0,(E34+G34)/2)</f>
        <v>0</v>
      </c>
    </row>
    <row r="35" spans="1:9" ht="16.5">
      <c r="A35" s="43">
        <f>+A34+1</f>
        <v>14</v>
      </c>
      <c r="C35" s="717" t="s">
        <v>306</v>
      </c>
      <c r="D35" s="710" t="str">
        <f>"WS B-1 - Actual Stmt. AF Ln. " &amp;'WS B-1 - Actual Stmt. AF'!A183&amp;" (Note 1)"</f>
        <v>WS B-1 - Actual Stmt. AF Ln. 12 (Note 1)</v>
      </c>
      <c r="E35" s="713">
        <v>551181.96</v>
      </c>
      <c r="F35" s="711"/>
      <c r="G35" s="713">
        <v>551181.96</v>
      </c>
      <c r="H35" s="711"/>
      <c r="I35" s="716">
        <f>IF(G35="",0,(E35+G35)/2)</f>
        <v>551181.96</v>
      </c>
    </row>
    <row r="36" spans="1:9" ht="14.25">
      <c r="A36" s="43">
        <f>+A35+1</f>
        <v>15</v>
      </c>
      <c r="C36" s="717" t="s">
        <v>302</v>
      </c>
      <c r="D36" s="722" t="str">
        <f>"Ln "&amp;A33&amp;" - ln "&amp;A34&amp;" - ln "&amp;A35&amp;""</f>
        <v>Ln 12 - ln 13 - ln 14</v>
      </c>
      <c r="E36" s="712">
        <f>+E33-E34-E35</f>
        <v>2674995.9162268396</v>
      </c>
      <c r="F36" s="711"/>
      <c r="G36" s="712">
        <f>+G33-G34-G35</f>
        <v>2615706.5631061187</v>
      </c>
      <c r="H36" s="711"/>
      <c r="I36" s="715">
        <f>+I33-I34-I35</f>
        <v>2645351.2396664792</v>
      </c>
    </row>
    <row r="37" spans="1:9" ht="15.75">
      <c r="A37" s="43"/>
      <c r="C37" s="28"/>
      <c r="D37" s="717"/>
      <c r="E37" s="711"/>
      <c r="F37" s="711"/>
      <c r="G37" s="711"/>
      <c r="H37" s="711"/>
      <c r="I37" s="711"/>
    </row>
    <row r="38" spans="1:9" ht="14.25">
      <c r="A38" s="43"/>
      <c r="C38" s="36"/>
      <c r="D38" s="717"/>
      <c r="E38" s="711"/>
      <c r="F38" s="711"/>
      <c r="G38" s="711"/>
      <c r="H38" s="711"/>
      <c r="I38" s="711"/>
    </row>
    <row r="39" spans="1:9" ht="15.75">
      <c r="A39" s="43">
        <f>+A36+1</f>
        <v>16</v>
      </c>
      <c r="C39" s="28" t="s">
        <v>298</v>
      </c>
      <c r="D39" s="717"/>
      <c r="E39" s="711"/>
      <c r="F39" s="711"/>
      <c r="G39" s="711"/>
      <c r="H39" s="711"/>
      <c r="I39" s="711"/>
    </row>
    <row r="40" spans="1:9" ht="14.25">
      <c r="A40" s="43"/>
      <c r="C40" s="36"/>
      <c r="D40" s="717"/>
      <c r="E40" s="711"/>
      <c r="F40" s="711"/>
      <c r="G40" s="711"/>
      <c r="H40" s="711"/>
      <c r="I40" s="711"/>
    </row>
    <row r="41" spans="1:9" ht="14.25">
      <c r="A41" s="43">
        <f>+A39+1</f>
        <v>17</v>
      </c>
      <c r="C41" s="717" t="s">
        <v>301</v>
      </c>
      <c r="D41" s="721" t="s">
        <v>300</v>
      </c>
      <c r="E41" s="709">
        <v>2293564.7122818418</v>
      </c>
      <c r="F41" s="711"/>
      <c r="G41" s="709">
        <v>2664252.0524528292</v>
      </c>
      <c r="H41" s="714"/>
      <c r="I41" s="715">
        <f>IF(G41="",0,(E41+G41)/2)</f>
        <v>2478908.3823673353</v>
      </c>
    </row>
    <row r="42" spans="1:9" ht="14.25">
      <c r="A42" s="43">
        <f>+A41+1</f>
        <v>18</v>
      </c>
      <c r="C42" s="717" t="s">
        <v>305</v>
      </c>
      <c r="D42" s="710" t="str">
        <f>"WS B-2 - Actual Stmt. AG Ln. " &amp;'WS B-2 - Actual Stmt. AG'!A110&amp;" (Note 1)"</f>
        <v>WS B-2 - Actual Stmt. AG Ln. 4 (Note 1)</v>
      </c>
      <c r="E42" s="709">
        <v>0</v>
      </c>
      <c r="F42" s="711"/>
      <c r="G42" s="709">
        <v>0</v>
      </c>
      <c r="H42" s="714"/>
      <c r="I42" s="715">
        <f>IF(G42="",0,(E42+G42)/2)</f>
        <v>0</v>
      </c>
    </row>
    <row r="43" spans="1:9" ht="16.5">
      <c r="A43" s="43">
        <f>+A42+1</f>
        <v>19</v>
      </c>
      <c r="C43" s="717" t="s">
        <v>306</v>
      </c>
      <c r="D43" s="710" t="str">
        <f>"WS B-2 - Actual Stmt. AG Ln. " &amp;'WS B-2 - Actual Stmt. AG'!A109&amp;" (Note 1)"</f>
        <v>WS B-2 - Actual Stmt. AG Ln. 3 (Note 1)</v>
      </c>
      <c r="E43" s="713">
        <v>151383.44000000041</v>
      </c>
      <c r="F43" s="711"/>
      <c r="G43" s="713">
        <v>151383.44000000041</v>
      </c>
      <c r="H43" s="711"/>
      <c r="I43" s="716">
        <f>IF(G43="",0,(E43+G43)/2)</f>
        <v>151383.44000000041</v>
      </c>
    </row>
    <row r="44" spans="1:9" ht="14.25">
      <c r="A44" s="43">
        <f>+A43+1</f>
        <v>20</v>
      </c>
      <c r="C44" s="717" t="s">
        <v>302</v>
      </c>
      <c r="D44" s="722" t="str">
        <f>"Ln "&amp;A41&amp;" - ln "&amp;A42&amp;" - ln "&amp;A43&amp;""</f>
        <v>Ln 17 - ln 18 - ln 19</v>
      </c>
      <c r="E44" s="712">
        <f>+E41-E42-E43</f>
        <v>2142181.2722818414</v>
      </c>
      <c r="F44" s="711"/>
      <c r="G44" s="712">
        <f>+G41-G42-G43</f>
        <v>2512868.6124528288</v>
      </c>
      <c r="H44" s="711"/>
      <c r="I44" s="715">
        <f>+I41-I42-I43</f>
        <v>2327524.9423673349</v>
      </c>
    </row>
    <row r="45" spans="1:9" ht="14.25">
      <c r="A45" s="43"/>
      <c r="C45" s="36"/>
      <c r="D45" s="36"/>
      <c r="E45" s="711"/>
      <c r="F45" s="711"/>
      <c r="G45" s="711"/>
      <c r="H45" s="711"/>
      <c r="I45" s="711"/>
    </row>
    <row r="46" spans="1:9" ht="14.25">
      <c r="A46" s="43"/>
      <c r="C46" s="36"/>
      <c r="D46" s="36"/>
      <c r="E46" s="711"/>
      <c r="F46" s="711"/>
      <c r="G46" s="711"/>
      <c r="H46" s="711"/>
      <c r="I46" s="711"/>
    </row>
    <row r="47" spans="1:9" ht="15.75">
      <c r="A47" s="43">
        <f>+A44+1</f>
        <v>21</v>
      </c>
      <c r="C47" s="28" t="s">
        <v>299</v>
      </c>
      <c r="D47" s="36"/>
      <c r="E47" s="711"/>
      <c r="F47" s="711"/>
      <c r="G47" s="711"/>
      <c r="H47" s="711"/>
      <c r="I47" s="711"/>
    </row>
    <row r="48" spans="1:9" ht="14.25">
      <c r="A48" s="43"/>
      <c r="C48" s="36"/>
      <c r="D48" s="36"/>
      <c r="E48" s="711"/>
      <c r="F48" s="711"/>
      <c r="G48" s="711"/>
      <c r="H48" s="711"/>
      <c r="I48" s="711"/>
    </row>
    <row r="49" spans="1:10" ht="14.25">
      <c r="A49" s="43">
        <f>+A47+1</f>
        <v>22</v>
      </c>
      <c r="C49" s="717" t="s">
        <v>307</v>
      </c>
      <c r="D49" s="721" t="s">
        <v>261</v>
      </c>
      <c r="E49" s="709"/>
      <c r="F49" s="711"/>
      <c r="G49" s="709"/>
      <c r="H49" s="714"/>
      <c r="I49" s="715">
        <f>IF(G49="",0,(E49+G49)/2)</f>
        <v>0</v>
      </c>
    </row>
    <row r="50" spans="1:10" ht="16.5">
      <c r="A50" s="43">
        <f>+A49+1</f>
        <v>23</v>
      </c>
      <c r="C50" s="717" t="s">
        <v>308</v>
      </c>
      <c r="D50" s="710" t="s">
        <v>326</v>
      </c>
      <c r="E50" s="713"/>
      <c r="F50" s="711"/>
      <c r="G50" s="713"/>
      <c r="H50" s="714"/>
      <c r="I50" s="716">
        <f>IF(G50="",0,(E50+G50)/2)</f>
        <v>0</v>
      </c>
    </row>
    <row r="51" spans="1:10" ht="14.25">
      <c r="A51" s="43">
        <f>+A50+1</f>
        <v>24</v>
      </c>
      <c r="C51" s="717" t="s">
        <v>252</v>
      </c>
      <c r="D51" s="722" t="str">
        <f>"Ln "&amp;A49&amp;" - ln "&amp;A50&amp;""</f>
        <v>Ln 22 - ln 23</v>
      </c>
      <c r="E51" s="712">
        <f>+E49-E50</f>
        <v>0</v>
      </c>
      <c r="F51" s="711"/>
      <c r="G51" s="712">
        <f>+G49-G50</f>
        <v>0</v>
      </c>
      <c r="H51" s="714"/>
      <c r="I51" s="715">
        <f>+I49-I50</f>
        <v>0</v>
      </c>
    </row>
    <row r="52" spans="1:10" ht="14.25">
      <c r="A52" s="43">
        <f>+A51+1</f>
        <v>25</v>
      </c>
      <c r="C52" s="717" t="s">
        <v>302</v>
      </c>
      <c r="D52" s="722" t="str">
        <f>"WS B-1 - Actual Stmt. AF Ln. " &amp;'WS B-1 - Actual Stmt. AF'!A197&amp;" (Note 1)"</f>
        <v>WS B-1 - Actual Stmt. AF Ln. 20 (Note 1)</v>
      </c>
      <c r="E52" s="709"/>
      <c r="F52" s="711"/>
      <c r="G52" s="709"/>
      <c r="H52" s="714"/>
      <c r="I52" s="715">
        <f>IF(G52="",0,(E52+G52)/2)</f>
        <v>0</v>
      </c>
    </row>
    <row r="53" spans="1:10">
      <c r="A53" s="43"/>
      <c r="C53" s="36"/>
      <c r="D53" s="36"/>
    </row>
    <row r="54" spans="1:10" ht="14.25">
      <c r="A54" s="718" t="s">
        <v>325</v>
      </c>
      <c r="B54" s="719" t="s">
        <v>406</v>
      </c>
      <c r="C54" s="719" t="s">
        <v>759</v>
      </c>
      <c r="D54" s="36"/>
    </row>
    <row r="55" spans="1:10" ht="14.25">
      <c r="A55" s="710"/>
      <c r="B55" s="720"/>
      <c r="C55" s="717" t="s">
        <v>760</v>
      </c>
      <c r="D55" s="36"/>
    </row>
    <row r="56" spans="1:10" ht="14.25">
      <c r="A56" s="710" t="s">
        <v>258</v>
      </c>
      <c r="B56" s="720" t="s">
        <v>259</v>
      </c>
      <c r="C56" s="717"/>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197"/>
  <sheetViews>
    <sheetView tabSelected="1" view="pageBreakPreview" zoomScale="60" zoomScaleNormal="50" workbookViewId="0">
      <selection activeCell="L25" sqref="L25"/>
    </sheetView>
  </sheetViews>
  <sheetFormatPr defaultRowHeight="12.75"/>
  <cols>
    <col min="1" max="1" width="6.85546875" style="751" customWidth="1"/>
    <col min="2" max="2" width="57.7109375" style="750" bestFit="1" customWidth="1"/>
    <col min="3" max="4" width="14.85546875" style="750" customWidth="1"/>
    <col min="5" max="6" width="14.28515625" style="750" customWidth="1"/>
    <col min="7" max="7" width="15.28515625" style="750" bestFit="1" customWidth="1"/>
    <col min="8" max="8" width="9.140625" style="750"/>
    <col min="9" max="9" width="13.140625" style="750" bestFit="1" customWidth="1"/>
    <col min="10" max="10" width="15" style="750" bestFit="1" customWidth="1"/>
    <col min="11" max="11" width="13.5703125" style="750" bestFit="1" customWidth="1"/>
    <col min="12" max="12" width="9.140625" style="750"/>
    <col min="13" max="13" width="13.140625" style="750" bestFit="1" customWidth="1"/>
    <col min="14" max="14" width="15" style="750" bestFit="1" customWidth="1"/>
    <col min="15" max="15" width="13.5703125" style="750" bestFit="1" customWidth="1"/>
    <col min="16" max="16" width="9.140625" style="750"/>
    <col min="17" max="17" width="13.140625" style="750" bestFit="1" customWidth="1"/>
    <col min="18" max="18" width="15" style="750" bestFit="1" customWidth="1"/>
    <col min="19" max="19" width="13.5703125" style="750" bestFit="1" customWidth="1"/>
    <col min="20" max="16384" width="9.140625" style="750"/>
  </cols>
  <sheetData>
    <row r="1" spans="1:19">
      <c r="A1" s="766"/>
      <c r="B1" s="782" t="str">
        <f>TCOS!F9</f>
        <v>AEP Appalachian Transmission Company</v>
      </c>
      <c r="C1" s="754"/>
      <c r="D1" s="754"/>
      <c r="E1" s="754"/>
      <c r="F1" s="754"/>
      <c r="M1" s="754"/>
      <c r="N1" s="754"/>
      <c r="O1" s="754"/>
      <c r="P1" s="754"/>
      <c r="Q1" s="754"/>
      <c r="R1" s="754"/>
    </row>
    <row r="2" spans="1:19">
      <c r="A2" s="766"/>
      <c r="B2" s="753" t="s">
        <v>641</v>
      </c>
      <c r="C2" s="754"/>
      <c r="D2" s="754"/>
      <c r="E2" s="754"/>
      <c r="F2" s="754"/>
      <c r="M2" s="754"/>
      <c r="N2" s="754"/>
      <c r="O2" s="754"/>
      <c r="P2" s="754"/>
      <c r="Q2" s="754"/>
      <c r="R2" s="754"/>
    </row>
    <row r="3" spans="1:19">
      <c r="A3" s="766"/>
      <c r="B3" s="775"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66"/>
      <c r="B4" s="754"/>
      <c r="C4" s="754"/>
      <c r="D4" s="754"/>
      <c r="E4" s="754"/>
      <c r="F4" s="754"/>
      <c r="G4" s="751" t="s">
        <v>642</v>
      </c>
      <c r="H4" s="751"/>
      <c r="I4" s="751"/>
      <c r="J4" s="751"/>
      <c r="K4" s="751"/>
      <c r="L4" s="751"/>
      <c r="M4" s="754"/>
      <c r="N4" s="754"/>
      <c r="O4" s="754"/>
      <c r="P4" s="754"/>
      <c r="Q4" s="754"/>
      <c r="R4" s="754"/>
      <c r="S4" s="754"/>
    </row>
    <row r="5" spans="1:19">
      <c r="A5" s="766"/>
      <c r="B5" s="754"/>
      <c r="C5" s="754"/>
      <c r="D5" s="754"/>
      <c r="E5" s="754"/>
      <c r="F5" s="754"/>
      <c r="G5" s="754"/>
      <c r="H5" s="754"/>
      <c r="I5" s="754"/>
      <c r="J5" s="754"/>
      <c r="K5" s="754"/>
      <c r="L5" s="754"/>
      <c r="M5" s="754"/>
      <c r="N5" s="754"/>
      <c r="O5" s="754"/>
      <c r="P5" s="754"/>
      <c r="Q5" s="754"/>
      <c r="R5" s="754"/>
      <c r="S5" s="754"/>
    </row>
    <row r="6" spans="1:19">
      <c r="A6" s="766"/>
      <c r="B6" s="754"/>
      <c r="C6" s="754"/>
      <c r="D6" s="754"/>
      <c r="E6" s="754"/>
      <c r="F6" s="754"/>
      <c r="G6" s="754"/>
      <c r="H6" s="754"/>
      <c r="I6" s="754"/>
      <c r="J6" s="754"/>
      <c r="K6" s="754"/>
      <c r="L6" s="754"/>
      <c r="M6" s="754"/>
      <c r="N6" s="754"/>
      <c r="O6" s="754"/>
      <c r="P6" s="754"/>
      <c r="Q6" s="754"/>
      <c r="R6" s="754"/>
      <c r="S6" s="754"/>
    </row>
    <row r="7" spans="1:19">
      <c r="A7" s="766"/>
      <c r="B7" s="754"/>
      <c r="C7" s="754"/>
      <c r="D7" s="754"/>
      <c r="E7" s="754"/>
      <c r="F7" s="754"/>
      <c r="G7" s="754"/>
      <c r="H7" s="754"/>
      <c r="I7" s="754"/>
      <c r="J7" s="754"/>
      <c r="K7" s="754"/>
      <c r="L7" s="754"/>
      <c r="M7" s="754"/>
      <c r="N7" s="754"/>
      <c r="O7" s="754"/>
      <c r="P7" s="754"/>
      <c r="Q7" s="754"/>
      <c r="R7" s="754"/>
      <c r="S7" s="754"/>
    </row>
    <row r="8" spans="1:19">
      <c r="A8" s="766"/>
      <c r="B8" s="755" t="s">
        <v>643</v>
      </c>
      <c r="C8" s="755" t="s">
        <v>644</v>
      </c>
      <c r="D8" s="755" t="s">
        <v>645</v>
      </c>
      <c r="E8" s="755" t="s">
        <v>646</v>
      </c>
      <c r="F8" s="755" t="s">
        <v>647</v>
      </c>
      <c r="G8" s="755" t="s">
        <v>648</v>
      </c>
      <c r="H8" s="755"/>
      <c r="I8" s="755" t="s">
        <v>649</v>
      </c>
      <c r="J8" s="755" t="s">
        <v>650</v>
      </c>
      <c r="K8" s="755" t="s">
        <v>651</v>
      </c>
      <c r="L8" s="755"/>
      <c r="M8" s="755" t="s">
        <v>652</v>
      </c>
      <c r="N8" s="755" t="s">
        <v>653</v>
      </c>
      <c r="O8" s="755" t="s">
        <v>654</v>
      </c>
      <c r="P8" s="754"/>
      <c r="Q8" s="755" t="s">
        <v>655</v>
      </c>
      <c r="R8" s="755" t="s">
        <v>656</v>
      </c>
      <c r="S8" s="755" t="s">
        <v>657</v>
      </c>
    </row>
    <row r="9" spans="1:19">
      <c r="A9" s="766"/>
      <c r="B9" s="754"/>
      <c r="C9" s="754"/>
      <c r="D9" s="754"/>
      <c r="E9" s="754"/>
      <c r="F9" s="754"/>
      <c r="G9" s="754"/>
      <c r="H9" s="754"/>
      <c r="I9" s="754"/>
      <c r="J9" s="754"/>
      <c r="K9" s="754"/>
      <c r="L9" s="754"/>
      <c r="M9" s="754"/>
      <c r="N9" s="754"/>
      <c r="O9" s="754"/>
      <c r="P9" s="754"/>
      <c r="Q9" s="754"/>
      <c r="R9" s="754"/>
      <c r="S9" s="754"/>
    </row>
    <row r="10" spans="1:19">
      <c r="A10" s="766"/>
      <c r="B10" s="754"/>
      <c r="C10" s="756" t="s">
        <v>658</v>
      </c>
      <c r="D10" s="756"/>
      <c r="E10" s="757" t="s">
        <v>659</v>
      </c>
      <c r="F10" s="756"/>
      <c r="G10" s="751" t="s">
        <v>660</v>
      </c>
      <c r="H10" s="751"/>
      <c r="I10" s="756" t="s">
        <v>661</v>
      </c>
      <c r="J10" s="756"/>
      <c r="K10" s="756"/>
      <c r="L10" s="751"/>
      <c r="M10" s="756" t="str">
        <f>"FUNCTIONALIZATION 12/31/"&amp;TCOS!L4-1</f>
        <v>FUNCTIONALIZATION 12/31/2025</v>
      </c>
      <c r="N10" s="756"/>
      <c r="O10" s="756"/>
      <c r="P10" s="754"/>
      <c r="Q10" s="756" t="str">
        <f>"FUNCTIONALIZATION 12/31/"&amp;TCOS!L4</f>
        <v>FUNCTIONALIZATION 12/31/2026</v>
      </c>
      <c r="R10" s="756"/>
      <c r="S10" s="756"/>
    </row>
    <row r="11" spans="1:19">
      <c r="A11" s="766"/>
      <c r="B11" s="754"/>
      <c r="C11" s="758"/>
      <c r="D11" s="758"/>
      <c r="E11" s="754"/>
      <c r="F11" s="754"/>
      <c r="G11" s="751" t="s">
        <v>662</v>
      </c>
      <c r="H11" s="751"/>
      <c r="I11" s="758"/>
      <c r="J11" s="758"/>
      <c r="K11" s="758"/>
      <c r="L11" s="751"/>
      <c r="M11" s="758"/>
      <c r="N11" s="758"/>
      <c r="O11" s="758"/>
      <c r="P11" s="754"/>
      <c r="Q11" s="758"/>
      <c r="R11" s="758"/>
      <c r="S11" s="758"/>
    </row>
    <row r="12" spans="1:19" s="777" customFormat="1">
      <c r="A12" s="778"/>
      <c r="B12" s="776"/>
      <c r="C12" s="779" t="s">
        <v>663</v>
      </c>
      <c r="D12" s="779" t="s">
        <v>663</v>
      </c>
      <c r="E12" s="779" t="s">
        <v>663</v>
      </c>
      <c r="F12" s="779" t="s">
        <v>663</v>
      </c>
      <c r="G12" s="779" t="s">
        <v>664</v>
      </c>
      <c r="H12" s="779"/>
      <c r="I12" s="776"/>
      <c r="J12" s="776"/>
      <c r="K12" s="776"/>
      <c r="L12" s="779"/>
      <c r="M12" s="776"/>
      <c r="N12" s="776"/>
      <c r="O12" s="776"/>
      <c r="P12" s="776"/>
      <c r="Q12" s="776"/>
      <c r="R12" s="776"/>
      <c r="S12" s="776"/>
    </row>
    <row r="13" spans="1:19" s="777" customFormat="1">
      <c r="A13" s="778"/>
      <c r="B13" s="780" t="s">
        <v>665</v>
      </c>
      <c r="C13" s="780" t="str">
        <f>"OF 12-31-"&amp;TCOS!L4-1</f>
        <v>OF 12-31-2025</v>
      </c>
      <c r="D13" s="780" t="str">
        <f>"OF 12-31-"&amp;TCOS!L4</f>
        <v>OF 12-31-2026</v>
      </c>
      <c r="E13" s="780" t="str">
        <f>"OF 12-31-"&amp;TCOS!L4-1</f>
        <v>OF 12-31-2025</v>
      </c>
      <c r="F13" s="780" t="str">
        <f>"OF 12-31-"&amp;TCOS!L4</f>
        <v>OF 12-31-2026</v>
      </c>
      <c r="G13" s="780" t="s">
        <v>666</v>
      </c>
      <c r="H13" s="780"/>
      <c r="I13" s="780" t="s">
        <v>667</v>
      </c>
      <c r="J13" s="780" t="s">
        <v>668</v>
      </c>
      <c r="K13" s="780" t="s">
        <v>669</v>
      </c>
      <c r="L13" s="780"/>
      <c r="M13" s="780" t="s">
        <v>667</v>
      </c>
      <c r="N13" s="780" t="s">
        <v>668</v>
      </c>
      <c r="O13" s="780" t="s">
        <v>669</v>
      </c>
      <c r="P13" s="776"/>
      <c r="Q13" s="780" t="s">
        <v>667</v>
      </c>
      <c r="R13" s="780" t="s">
        <v>668</v>
      </c>
      <c r="S13" s="780" t="s">
        <v>669</v>
      </c>
    </row>
    <row r="14" spans="1:19">
      <c r="A14" s="766"/>
      <c r="B14" s="754"/>
      <c r="C14" s="754"/>
      <c r="D14" s="754"/>
      <c r="E14" s="754"/>
      <c r="F14" s="754"/>
      <c r="G14" s="754"/>
      <c r="H14" s="754"/>
      <c r="I14" s="754"/>
      <c r="J14" s="754"/>
      <c r="K14" s="754"/>
      <c r="L14" s="754"/>
      <c r="M14" s="754"/>
      <c r="N14" s="754"/>
      <c r="O14" s="754"/>
      <c r="P14" s="754"/>
      <c r="Q14" s="754"/>
      <c r="R14" s="754"/>
      <c r="S14" s="754"/>
    </row>
    <row r="15" spans="1:19">
      <c r="A15" s="774">
        <v>1</v>
      </c>
      <c r="B15" s="752" t="s">
        <v>670</v>
      </c>
      <c r="C15" s="760"/>
      <c r="D15" s="760"/>
      <c r="E15" s="760"/>
      <c r="F15" s="761"/>
      <c r="G15" s="760"/>
      <c r="H15" s="760"/>
      <c r="I15" s="760"/>
      <c r="J15" s="760"/>
      <c r="K15" s="760"/>
      <c r="L15" s="760"/>
      <c r="M15" s="760"/>
      <c r="N15" s="760"/>
      <c r="O15" s="760"/>
      <c r="P15" s="760"/>
      <c r="Q15" s="760"/>
      <c r="R15" s="760"/>
      <c r="S15" s="760"/>
    </row>
    <row r="16" spans="1:19">
      <c r="A16" s="774">
        <v>2.0099999999999998</v>
      </c>
      <c r="B16" s="752"/>
      <c r="C16" s="760"/>
      <c r="D16" s="760"/>
      <c r="E16" s="760"/>
      <c r="F16" s="760"/>
      <c r="G16" s="760"/>
      <c r="H16" s="760"/>
      <c r="I16" s="760"/>
      <c r="J16" s="760"/>
      <c r="K16" s="760"/>
      <c r="L16" s="760"/>
      <c r="M16" s="760"/>
      <c r="N16" s="760"/>
      <c r="O16" s="760"/>
      <c r="P16" s="760"/>
      <c r="Q16" s="760"/>
      <c r="R16" s="760"/>
      <c r="S16" s="760"/>
    </row>
    <row r="17" spans="1:19">
      <c r="A17" s="774">
        <v>2.02</v>
      </c>
      <c r="B17" s="752"/>
      <c r="C17" s="760">
        <f>SUM(M17:O17)</f>
        <v>0</v>
      </c>
      <c r="D17" s="760">
        <f>SUM(Q17:S17)</f>
        <v>0</v>
      </c>
      <c r="E17" s="760"/>
      <c r="F17" s="760"/>
      <c r="G17" s="760">
        <f>ROUND(SUM(C17:F17)/2,0)</f>
        <v>0</v>
      </c>
      <c r="H17" s="760"/>
      <c r="I17" s="760">
        <f>(M17+Q17)/2</f>
        <v>0</v>
      </c>
      <c r="J17" s="760">
        <f>(N17+R17)/2</f>
        <v>0</v>
      </c>
      <c r="K17" s="760">
        <f>(O17+S17)/2</f>
        <v>0</v>
      </c>
      <c r="L17" s="760"/>
      <c r="M17" s="752"/>
      <c r="N17" s="752"/>
      <c r="O17" s="752"/>
      <c r="P17" s="760"/>
      <c r="Q17" s="752"/>
      <c r="R17" s="752"/>
      <c r="S17" s="752"/>
    </row>
    <row r="18" spans="1:19">
      <c r="A18" s="774">
        <v>2.0299999999999998</v>
      </c>
      <c r="B18" s="752"/>
      <c r="C18" s="760"/>
      <c r="D18" s="760"/>
      <c r="E18" s="760"/>
      <c r="F18" s="760"/>
      <c r="G18" s="760"/>
      <c r="H18" s="760"/>
      <c r="I18" s="760"/>
      <c r="J18" s="760"/>
      <c r="K18" s="760"/>
      <c r="L18" s="760"/>
      <c r="M18" s="760"/>
      <c r="N18" s="760"/>
      <c r="O18" s="760"/>
      <c r="P18" s="760"/>
      <c r="Q18" s="760"/>
      <c r="R18" s="760"/>
      <c r="S18" s="760"/>
    </row>
    <row r="19" spans="1:19">
      <c r="A19" s="774">
        <v>2.04</v>
      </c>
      <c r="B19" s="752"/>
      <c r="C19" s="760">
        <v>0</v>
      </c>
      <c r="D19" s="760">
        <v>0</v>
      </c>
      <c r="E19" s="760">
        <f t="shared" ref="E19:F21" si="0">-C19</f>
        <v>0</v>
      </c>
      <c r="F19" s="760">
        <f t="shared" si="0"/>
        <v>0</v>
      </c>
      <c r="G19" s="760">
        <f>ROUND(SUM(C19:F19)/2,0)</f>
        <v>0</v>
      </c>
      <c r="H19" s="760"/>
      <c r="I19" s="760"/>
      <c r="J19" s="760"/>
      <c r="K19" s="760"/>
      <c r="L19" s="760"/>
      <c r="M19" s="760"/>
      <c r="N19" s="760"/>
      <c r="O19" s="760"/>
      <c r="P19" s="760"/>
      <c r="Q19" s="760"/>
      <c r="R19" s="760"/>
      <c r="S19" s="760"/>
    </row>
    <row r="20" spans="1:19">
      <c r="A20" s="774">
        <v>2.0499999999999998</v>
      </c>
      <c r="B20" s="752"/>
      <c r="C20" s="760">
        <v>0</v>
      </c>
      <c r="D20" s="760">
        <v>0</v>
      </c>
      <c r="E20" s="760">
        <f t="shared" si="0"/>
        <v>0</v>
      </c>
      <c r="F20" s="760">
        <f t="shared" si="0"/>
        <v>0</v>
      </c>
      <c r="G20" s="760">
        <f>ROUND(SUM(C20:F20)/2,0)</f>
        <v>0</v>
      </c>
      <c r="H20" s="760"/>
      <c r="I20" s="760"/>
      <c r="J20" s="760"/>
      <c r="K20" s="760"/>
      <c r="L20" s="760"/>
      <c r="M20" s="760"/>
      <c r="N20" s="760"/>
      <c r="O20" s="760"/>
      <c r="P20" s="760"/>
      <c r="Q20" s="760"/>
      <c r="R20" s="760"/>
      <c r="S20" s="760"/>
    </row>
    <row r="21" spans="1:19">
      <c r="A21" s="774">
        <v>2.06</v>
      </c>
      <c r="B21" s="752"/>
      <c r="C21" s="760">
        <v>0</v>
      </c>
      <c r="D21" s="760">
        <v>0</v>
      </c>
      <c r="E21" s="760">
        <f t="shared" si="0"/>
        <v>0</v>
      </c>
      <c r="F21" s="760">
        <f t="shared" si="0"/>
        <v>0</v>
      </c>
      <c r="G21" s="760">
        <f>ROUND(SUM(C21:F21)/2,0)</f>
        <v>0</v>
      </c>
      <c r="H21" s="760"/>
      <c r="I21" s="760"/>
      <c r="J21" s="760"/>
      <c r="K21" s="760"/>
      <c r="L21" s="760"/>
      <c r="M21" s="760"/>
      <c r="N21" s="760"/>
      <c r="O21" s="760"/>
      <c r="P21" s="760"/>
      <c r="Q21" s="760"/>
      <c r="R21" s="760"/>
      <c r="S21" s="760"/>
    </row>
    <row r="22" spans="1:19">
      <c r="A22" s="767"/>
      <c r="B22" s="754"/>
      <c r="C22" s="760"/>
      <c r="D22" s="760"/>
      <c r="E22" s="760"/>
      <c r="F22" s="760"/>
      <c r="G22" s="760"/>
      <c r="H22" s="760"/>
      <c r="I22" s="760"/>
      <c r="J22" s="760"/>
      <c r="K22" s="760"/>
      <c r="L22" s="760"/>
      <c r="M22" s="760"/>
      <c r="N22" s="760"/>
      <c r="O22" s="760"/>
      <c r="P22" s="760"/>
      <c r="Q22" s="760"/>
      <c r="R22" s="760"/>
      <c r="S22" s="760"/>
    </row>
    <row r="23" spans="1:19" ht="13.5" thickBot="1">
      <c r="A23" s="767">
        <v>3</v>
      </c>
      <c r="B23" s="750" t="s">
        <v>671</v>
      </c>
      <c r="C23" s="762">
        <f>SUM(C17:C22)</f>
        <v>0</v>
      </c>
      <c r="D23" s="762">
        <f>SUM(D17:D22)</f>
        <v>0</v>
      </c>
      <c r="E23" s="762">
        <f>SUM(E17:E22)</f>
        <v>0</v>
      </c>
      <c r="F23" s="762">
        <f>SUM(F17:F22)</f>
        <v>0</v>
      </c>
      <c r="G23" s="762">
        <f>SUM(G17:G22)</f>
        <v>0</v>
      </c>
      <c r="H23" s="760"/>
      <c r="I23" s="762">
        <f>SUM(I17:I22)</f>
        <v>0</v>
      </c>
      <c r="J23" s="762">
        <f>SUM(J17:J22)</f>
        <v>0</v>
      </c>
      <c r="K23" s="762">
        <f>SUM(K17:K22)</f>
        <v>0</v>
      </c>
      <c r="L23" s="760"/>
      <c r="M23" s="762">
        <f>SUM(M17:M22)</f>
        <v>0</v>
      </c>
      <c r="N23" s="762">
        <f>SUM(N17:N22)</f>
        <v>0</v>
      </c>
      <c r="O23" s="762">
        <f>SUM(O17:O22)</f>
        <v>0</v>
      </c>
      <c r="P23" s="760"/>
      <c r="Q23" s="762">
        <f>SUM(Q17:Q22)</f>
        <v>0</v>
      </c>
      <c r="R23" s="762">
        <f>SUM(R17:R22)</f>
        <v>0</v>
      </c>
      <c r="S23" s="762">
        <f>SUM(S17:S22)</f>
        <v>0</v>
      </c>
    </row>
    <row r="24" spans="1:19" ht="13.5" thickTop="1">
      <c r="A24" s="767">
        <f>A23+1</f>
        <v>4</v>
      </c>
      <c r="B24" s="754" t="s">
        <v>672</v>
      </c>
      <c r="C24" s="771">
        <v>0</v>
      </c>
      <c r="D24" s="771">
        <v>0</v>
      </c>
      <c r="E24" s="771">
        <v>0</v>
      </c>
      <c r="F24" s="771">
        <v>0</v>
      </c>
      <c r="G24" s="771">
        <v>0</v>
      </c>
      <c r="H24" s="772"/>
      <c r="I24" s="771">
        <v>0</v>
      </c>
      <c r="J24" s="771">
        <v>0</v>
      </c>
      <c r="K24" s="771">
        <v>0</v>
      </c>
      <c r="L24" s="772"/>
      <c r="M24" s="771">
        <v>0</v>
      </c>
      <c r="N24" s="771">
        <v>0</v>
      </c>
      <c r="O24" s="771">
        <v>0</v>
      </c>
      <c r="P24" s="772"/>
      <c r="Q24" s="771">
        <v>0</v>
      </c>
      <c r="R24" s="771">
        <v>0</v>
      </c>
      <c r="S24" s="771">
        <v>0</v>
      </c>
    </row>
    <row r="25" spans="1:19">
      <c r="A25" s="767"/>
      <c r="B25" s="754"/>
      <c r="C25" s="760"/>
      <c r="D25" s="760"/>
      <c r="E25" s="760"/>
      <c r="F25" s="760"/>
      <c r="G25" s="760"/>
      <c r="H25" s="760"/>
      <c r="I25" s="760"/>
      <c r="J25" s="760"/>
      <c r="K25" s="760"/>
      <c r="L25" s="760"/>
      <c r="M25" s="760"/>
      <c r="N25" s="760"/>
      <c r="O25" s="760"/>
      <c r="P25" s="760"/>
      <c r="Q25" s="760"/>
      <c r="R25" s="760"/>
      <c r="S25" s="760"/>
    </row>
    <row r="26" spans="1:19">
      <c r="A26" s="767">
        <v>5</v>
      </c>
      <c r="B26" s="750" t="s">
        <v>673</v>
      </c>
      <c r="C26" s="760"/>
      <c r="D26" s="760"/>
      <c r="E26" s="760"/>
      <c r="F26" s="760"/>
      <c r="G26" s="760"/>
      <c r="H26" s="760"/>
      <c r="I26" s="760"/>
      <c r="J26" s="760"/>
      <c r="K26" s="760"/>
      <c r="L26" s="760"/>
      <c r="M26" s="760"/>
      <c r="N26" s="760"/>
      <c r="O26" s="760"/>
      <c r="P26" s="760"/>
      <c r="Q26" s="760"/>
      <c r="R26" s="760"/>
      <c r="S26" s="760"/>
    </row>
    <row r="27" spans="1:19">
      <c r="A27" s="773"/>
      <c r="B27" s="754"/>
      <c r="C27" s="760"/>
      <c r="D27" s="760"/>
      <c r="E27" s="760"/>
      <c r="F27" s="760"/>
      <c r="G27" s="760"/>
      <c r="H27" s="760"/>
      <c r="I27" s="760"/>
      <c r="J27" s="760"/>
      <c r="K27" s="760"/>
      <c r="L27" s="760"/>
      <c r="M27" s="760"/>
      <c r="N27" s="760"/>
      <c r="O27" s="760"/>
      <c r="P27" s="760"/>
      <c r="Q27" s="760"/>
      <c r="R27" s="760"/>
      <c r="S27" s="760"/>
    </row>
    <row r="28" spans="1:19">
      <c r="A28" s="774">
        <v>5.01</v>
      </c>
      <c r="B28" s="752"/>
      <c r="C28" s="760">
        <f t="shared" ref="C28:C64" si="1">SUM(M28:O28)</f>
        <v>0</v>
      </c>
      <c r="D28" s="760">
        <f t="shared" ref="D28:D64" si="2">SUM(Q28:S28)</f>
        <v>0</v>
      </c>
      <c r="E28" s="760"/>
      <c r="F28" s="760"/>
      <c r="G28" s="760">
        <f t="shared" ref="G28:G50" si="3">ROUND(SUM(C28:F28)/2,0)</f>
        <v>0</v>
      </c>
      <c r="H28" s="760"/>
      <c r="I28" s="760">
        <f t="shared" ref="I28:K65" si="4">(M28+Q28)/2</f>
        <v>0</v>
      </c>
      <c r="J28" s="760">
        <f t="shared" si="4"/>
        <v>0</v>
      </c>
      <c r="K28" s="760">
        <f t="shared" si="4"/>
        <v>0</v>
      </c>
      <c r="L28" s="760"/>
      <c r="M28" s="752"/>
      <c r="N28" s="752"/>
      <c r="O28" s="752"/>
      <c r="P28" s="760"/>
      <c r="Q28" s="752"/>
      <c r="R28" s="752"/>
      <c r="S28" s="752"/>
    </row>
    <row r="29" spans="1:19">
      <c r="A29" s="774">
        <f>A28+0.01</f>
        <v>5.0199999999999996</v>
      </c>
      <c r="B29" s="752"/>
      <c r="C29" s="760">
        <f>SUM(M29:O29)</f>
        <v>0</v>
      </c>
      <c r="D29" s="760">
        <f>SUM(Q29:S29)</f>
        <v>0</v>
      </c>
      <c r="E29" s="760"/>
      <c r="F29" s="760"/>
      <c r="G29" s="760">
        <f t="shared" si="3"/>
        <v>0</v>
      </c>
      <c r="H29" s="760"/>
      <c r="I29" s="760">
        <f t="shared" si="4"/>
        <v>0</v>
      </c>
      <c r="J29" s="760">
        <f t="shared" si="4"/>
        <v>0</v>
      </c>
      <c r="K29" s="760">
        <f t="shared" si="4"/>
        <v>0</v>
      </c>
      <c r="L29" s="760"/>
      <c r="M29" s="752"/>
      <c r="N29" s="752"/>
      <c r="O29" s="752"/>
      <c r="P29" s="760"/>
      <c r="Q29" s="752"/>
      <c r="R29" s="752"/>
      <c r="S29" s="752"/>
    </row>
    <row r="30" spans="1:19">
      <c r="A30" s="774">
        <f t="shared" ref="A30:A68" si="5">A29+0.01</f>
        <v>5.0299999999999994</v>
      </c>
      <c r="B30" s="752"/>
      <c r="C30" s="760">
        <f t="shared" si="1"/>
        <v>0</v>
      </c>
      <c r="D30" s="760">
        <f t="shared" si="2"/>
        <v>0</v>
      </c>
      <c r="E30" s="760"/>
      <c r="F30" s="760"/>
      <c r="G30" s="760">
        <f t="shared" si="3"/>
        <v>0</v>
      </c>
      <c r="H30" s="760"/>
      <c r="I30" s="760">
        <f t="shared" si="4"/>
        <v>0</v>
      </c>
      <c r="J30" s="760">
        <f t="shared" si="4"/>
        <v>0</v>
      </c>
      <c r="K30" s="760">
        <f t="shared" si="4"/>
        <v>0</v>
      </c>
      <c r="L30" s="760"/>
      <c r="M30" s="781"/>
      <c r="N30" s="781"/>
      <c r="O30" s="752"/>
      <c r="P30" s="760"/>
      <c r="Q30" s="781"/>
      <c r="R30" s="781"/>
      <c r="S30" s="752"/>
    </row>
    <row r="31" spans="1:19">
      <c r="A31" s="774">
        <f t="shared" si="5"/>
        <v>5.0399999999999991</v>
      </c>
      <c r="B31" s="752"/>
      <c r="C31" s="760">
        <f>SUM(M31:O31)</f>
        <v>0</v>
      </c>
      <c r="D31" s="760">
        <f>SUM(Q31:S31)</f>
        <v>0</v>
      </c>
      <c r="E31" s="760"/>
      <c r="F31" s="760"/>
      <c r="G31" s="760">
        <f t="shared" si="3"/>
        <v>0</v>
      </c>
      <c r="H31" s="760"/>
      <c r="I31" s="760">
        <f t="shared" si="4"/>
        <v>0</v>
      </c>
      <c r="J31" s="760">
        <f t="shared" si="4"/>
        <v>0</v>
      </c>
      <c r="K31" s="760">
        <f t="shared" si="4"/>
        <v>0</v>
      </c>
      <c r="L31" s="760"/>
      <c r="M31" s="752"/>
      <c r="N31" s="752"/>
      <c r="O31" s="752"/>
      <c r="P31" s="760"/>
      <c r="Q31" s="752"/>
      <c r="R31" s="752"/>
      <c r="S31" s="752"/>
    </row>
    <row r="32" spans="1:19">
      <c r="A32" s="774">
        <f t="shared" si="5"/>
        <v>5.0499999999999989</v>
      </c>
      <c r="B32" s="752"/>
      <c r="C32" s="760">
        <f t="shared" si="1"/>
        <v>0</v>
      </c>
      <c r="D32" s="760">
        <f t="shared" si="2"/>
        <v>0</v>
      </c>
      <c r="E32" s="760"/>
      <c r="F32" s="760"/>
      <c r="G32" s="760">
        <f t="shared" si="3"/>
        <v>0</v>
      </c>
      <c r="H32" s="760"/>
      <c r="I32" s="760">
        <f t="shared" si="4"/>
        <v>0</v>
      </c>
      <c r="J32" s="760">
        <f t="shared" si="4"/>
        <v>0</v>
      </c>
      <c r="K32" s="760">
        <f t="shared" si="4"/>
        <v>0</v>
      </c>
      <c r="L32" s="760"/>
      <c r="M32" s="752"/>
      <c r="N32" s="752"/>
      <c r="O32" s="752"/>
      <c r="P32" s="760"/>
      <c r="Q32" s="752"/>
      <c r="R32" s="752"/>
      <c r="S32" s="752"/>
    </row>
    <row r="33" spans="1:19">
      <c r="A33" s="774">
        <f t="shared" si="5"/>
        <v>5.0599999999999987</v>
      </c>
      <c r="B33" s="752"/>
      <c r="C33" s="760">
        <f t="shared" ref="C33:C39" si="6">SUM(M33:O33)</f>
        <v>0</v>
      </c>
      <c r="D33" s="760">
        <f t="shared" ref="D33:D39" si="7">SUM(Q33:S33)</f>
        <v>0</v>
      </c>
      <c r="E33" s="760"/>
      <c r="F33" s="760"/>
      <c r="G33" s="760">
        <f t="shared" si="3"/>
        <v>0</v>
      </c>
      <c r="H33" s="760"/>
      <c r="I33" s="760">
        <f t="shared" si="4"/>
        <v>0</v>
      </c>
      <c r="J33" s="760">
        <f t="shared" si="4"/>
        <v>0</v>
      </c>
      <c r="K33" s="760">
        <f t="shared" si="4"/>
        <v>0</v>
      </c>
      <c r="L33" s="760"/>
      <c r="M33" s="752"/>
      <c r="N33" s="752"/>
      <c r="O33" s="752"/>
      <c r="P33" s="760"/>
      <c r="Q33" s="752"/>
      <c r="R33" s="752"/>
      <c r="S33" s="752"/>
    </row>
    <row r="34" spans="1:19">
      <c r="A34" s="774">
        <f t="shared" si="5"/>
        <v>5.0699999999999985</v>
      </c>
      <c r="B34" s="752"/>
      <c r="C34" s="764">
        <f t="shared" si="6"/>
        <v>0</v>
      </c>
      <c r="D34" s="764">
        <f t="shared" si="7"/>
        <v>0</v>
      </c>
      <c r="E34" s="764"/>
      <c r="F34" s="764"/>
      <c r="G34" s="764">
        <f t="shared" si="3"/>
        <v>0</v>
      </c>
      <c r="H34" s="764"/>
      <c r="I34" s="764">
        <f t="shared" si="4"/>
        <v>0</v>
      </c>
      <c r="J34" s="764">
        <f t="shared" si="4"/>
        <v>0</v>
      </c>
      <c r="K34" s="764">
        <f t="shared" si="4"/>
        <v>0</v>
      </c>
      <c r="L34" s="764"/>
      <c r="M34" s="752"/>
      <c r="N34" s="781"/>
      <c r="O34" s="752"/>
      <c r="P34" s="760"/>
      <c r="Q34" s="781"/>
      <c r="R34" s="781"/>
      <c r="S34" s="752"/>
    </row>
    <row r="35" spans="1:19">
      <c r="A35" s="774">
        <f t="shared" si="5"/>
        <v>5.0799999999999983</v>
      </c>
      <c r="B35" s="752"/>
      <c r="C35" s="764">
        <f t="shared" si="6"/>
        <v>0</v>
      </c>
      <c r="D35" s="764">
        <f t="shared" si="7"/>
        <v>0</v>
      </c>
      <c r="E35" s="764"/>
      <c r="F35" s="764"/>
      <c r="G35" s="764">
        <f t="shared" si="3"/>
        <v>0</v>
      </c>
      <c r="H35" s="764"/>
      <c r="I35" s="764">
        <f t="shared" si="4"/>
        <v>0</v>
      </c>
      <c r="J35" s="764">
        <f t="shared" si="4"/>
        <v>0</v>
      </c>
      <c r="K35" s="764">
        <f t="shared" si="4"/>
        <v>0</v>
      </c>
      <c r="L35" s="764"/>
      <c r="M35" s="752"/>
      <c r="N35" s="752"/>
      <c r="O35" s="752"/>
      <c r="P35" s="764"/>
      <c r="Q35" s="752"/>
      <c r="R35" s="752"/>
      <c r="S35" s="752"/>
    </row>
    <row r="36" spans="1:19">
      <c r="A36" s="774">
        <f t="shared" si="5"/>
        <v>5.0899999999999981</v>
      </c>
      <c r="B36" s="752"/>
      <c r="C36" s="760">
        <f>SUM(M36:O36)</f>
        <v>0</v>
      </c>
      <c r="D36" s="760">
        <f t="shared" si="7"/>
        <v>0</v>
      </c>
      <c r="E36" s="760"/>
      <c r="F36" s="760"/>
      <c r="G36" s="760">
        <f>ROUND(SUM(C36:F36)/2,0)</f>
        <v>0</v>
      </c>
      <c r="H36" s="760"/>
      <c r="I36" s="760">
        <f t="shared" si="4"/>
        <v>0</v>
      </c>
      <c r="J36" s="760">
        <f t="shared" si="4"/>
        <v>0</v>
      </c>
      <c r="K36" s="760">
        <f t="shared" si="4"/>
        <v>0</v>
      </c>
      <c r="L36" s="760"/>
      <c r="M36" s="752"/>
      <c r="N36" s="752"/>
      <c r="O36" s="752"/>
      <c r="P36" s="760"/>
      <c r="Q36" s="752"/>
      <c r="R36" s="752"/>
      <c r="S36" s="752"/>
    </row>
    <row r="37" spans="1:19">
      <c r="A37" s="774">
        <f t="shared" si="5"/>
        <v>5.0999999999999979</v>
      </c>
      <c r="B37" s="752"/>
      <c r="C37" s="760">
        <f t="shared" si="6"/>
        <v>0</v>
      </c>
      <c r="D37" s="760">
        <f t="shared" si="7"/>
        <v>0</v>
      </c>
      <c r="E37" s="760"/>
      <c r="F37" s="760"/>
      <c r="G37" s="760">
        <f t="shared" si="3"/>
        <v>0</v>
      </c>
      <c r="H37" s="760"/>
      <c r="I37" s="760">
        <f t="shared" si="4"/>
        <v>0</v>
      </c>
      <c r="J37" s="760">
        <f t="shared" si="4"/>
        <v>0</v>
      </c>
      <c r="K37" s="760">
        <f t="shared" si="4"/>
        <v>0</v>
      </c>
      <c r="L37" s="760"/>
      <c r="M37" s="752"/>
      <c r="N37" s="752"/>
      <c r="O37" s="752"/>
      <c r="P37" s="760"/>
      <c r="Q37" s="752"/>
      <c r="R37" s="752"/>
      <c r="S37" s="752"/>
    </row>
    <row r="38" spans="1:19">
      <c r="A38" s="774">
        <f t="shared" si="5"/>
        <v>5.1099999999999977</v>
      </c>
      <c r="B38" s="752"/>
      <c r="C38" s="760">
        <f t="shared" si="6"/>
        <v>0</v>
      </c>
      <c r="D38" s="760">
        <f t="shared" si="7"/>
        <v>0</v>
      </c>
      <c r="E38" s="760"/>
      <c r="F38" s="760"/>
      <c r="G38" s="760">
        <f t="shared" si="3"/>
        <v>0</v>
      </c>
      <c r="H38" s="760"/>
      <c r="I38" s="760">
        <f t="shared" si="4"/>
        <v>0</v>
      </c>
      <c r="J38" s="760">
        <f t="shared" si="4"/>
        <v>0</v>
      </c>
      <c r="K38" s="760">
        <f t="shared" si="4"/>
        <v>0</v>
      </c>
      <c r="L38" s="760"/>
      <c r="M38" s="752"/>
      <c r="N38" s="752"/>
      <c r="O38" s="752"/>
      <c r="P38" s="760"/>
      <c r="Q38" s="752"/>
      <c r="R38" s="752"/>
      <c r="S38" s="752"/>
    </row>
    <row r="39" spans="1:19">
      <c r="A39" s="774">
        <f t="shared" si="5"/>
        <v>5.1199999999999974</v>
      </c>
      <c r="B39" s="752"/>
      <c r="C39" s="760">
        <f t="shared" si="6"/>
        <v>0</v>
      </c>
      <c r="D39" s="760">
        <f t="shared" si="7"/>
        <v>0</v>
      </c>
      <c r="E39" s="760"/>
      <c r="F39" s="760"/>
      <c r="G39" s="760">
        <f t="shared" si="3"/>
        <v>0</v>
      </c>
      <c r="H39" s="760"/>
      <c r="I39" s="760">
        <f t="shared" si="4"/>
        <v>0</v>
      </c>
      <c r="J39" s="760">
        <f t="shared" si="4"/>
        <v>0</v>
      </c>
      <c r="K39" s="760">
        <f t="shared" si="4"/>
        <v>0</v>
      </c>
      <c r="L39" s="760"/>
      <c r="M39" s="752"/>
      <c r="N39" s="752"/>
      <c r="O39" s="752"/>
      <c r="P39" s="760"/>
      <c r="Q39" s="752"/>
      <c r="R39" s="752"/>
      <c r="S39" s="752"/>
    </row>
    <row r="40" spans="1:19">
      <c r="A40" s="774">
        <f t="shared" si="5"/>
        <v>5.1299999999999972</v>
      </c>
      <c r="B40" s="752"/>
      <c r="C40" s="760">
        <f t="shared" si="1"/>
        <v>0</v>
      </c>
      <c r="D40" s="760">
        <f t="shared" si="2"/>
        <v>0</v>
      </c>
      <c r="E40" s="760"/>
      <c r="F40" s="760"/>
      <c r="G40" s="760">
        <f t="shared" si="3"/>
        <v>0</v>
      </c>
      <c r="H40" s="760"/>
      <c r="I40" s="760">
        <f t="shared" si="4"/>
        <v>0</v>
      </c>
      <c r="J40" s="760">
        <f t="shared" si="4"/>
        <v>0</v>
      </c>
      <c r="K40" s="760">
        <f t="shared" si="4"/>
        <v>0</v>
      </c>
      <c r="L40" s="760"/>
      <c r="M40" s="752"/>
      <c r="N40" s="752"/>
      <c r="O40" s="752"/>
      <c r="P40" s="760"/>
      <c r="Q40" s="752"/>
      <c r="R40" s="752"/>
      <c r="S40" s="752"/>
    </row>
    <row r="41" spans="1:19">
      <c r="A41" s="774">
        <f t="shared" si="5"/>
        <v>5.139999999999997</v>
      </c>
      <c r="B41" s="752"/>
      <c r="C41" s="760">
        <f t="shared" si="1"/>
        <v>0</v>
      </c>
      <c r="D41" s="760">
        <f t="shared" si="2"/>
        <v>0</v>
      </c>
      <c r="E41" s="760"/>
      <c r="F41" s="760"/>
      <c r="G41" s="760">
        <f t="shared" si="3"/>
        <v>0</v>
      </c>
      <c r="H41" s="760"/>
      <c r="I41" s="760">
        <f t="shared" si="4"/>
        <v>0</v>
      </c>
      <c r="J41" s="760">
        <f t="shared" si="4"/>
        <v>0</v>
      </c>
      <c r="K41" s="760">
        <f t="shared" si="4"/>
        <v>0</v>
      </c>
      <c r="L41" s="760"/>
      <c r="M41" s="752"/>
      <c r="N41" s="752"/>
      <c r="O41" s="752"/>
      <c r="P41" s="760"/>
      <c r="Q41" s="752"/>
      <c r="R41" s="752"/>
      <c r="S41" s="752"/>
    </row>
    <row r="42" spans="1:19">
      <c r="A42" s="774">
        <f t="shared" si="5"/>
        <v>5.1499999999999968</v>
      </c>
      <c r="B42" s="752"/>
      <c r="C42" s="760">
        <f t="shared" si="1"/>
        <v>0</v>
      </c>
      <c r="D42" s="760">
        <f t="shared" si="2"/>
        <v>0</v>
      </c>
      <c r="E42" s="760"/>
      <c r="F42" s="760"/>
      <c r="G42" s="760">
        <f t="shared" si="3"/>
        <v>0</v>
      </c>
      <c r="H42" s="760"/>
      <c r="I42" s="760">
        <f t="shared" si="4"/>
        <v>0</v>
      </c>
      <c r="J42" s="760">
        <f t="shared" si="4"/>
        <v>0</v>
      </c>
      <c r="K42" s="760">
        <f t="shared" si="4"/>
        <v>0</v>
      </c>
      <c r="L42" s="760"/>
      <c r="M42" s="752"/>
      <c r="N42" s="752"/>
      <c r="O42" s="752"/>
      <c r="P42" s="760"/>
      <c r="Q42" s="752"/>
      <c r="R42" s="752"/>
      <c r="S42" s="752"/>
    </row>
    <row r="43" spans="1:19">
      <c r="A43" s="774">
        <f t="shared" si="5"/>
        <v>5.1599999999999966</v>
      </c>
      <c r="B43" s="752"/>
      <c r="C43" s="760">
        <f t="shared" si="1"/>
        <v>0</v>
      </c>
      <c r="D43" s="760">
        <f t="shared" si="2"/>
        <v>0</v>
      </c>
      <c r="E43" s="760"/>
      <c r="F43" s="760"/>
      <c r="G43" s="760">
        <f t="shared" si="3"/>
        <v>0</v>
      </c>
      <c r="H43" s="760"/>
      <c r="I43" s="760">
        <f t="shared" si="4"/>
        <v>0</v>
      </c>
      <c r="J43" s="760">
        <f t="shared" si="4"/>
        <v>0</v>
      </c>
      <c r="K43" s="760">
        <f t="shared" si="4"/>
        <v>0</v>
      </c>
      <c r="L43" s="760"/>
      <c r="M43" s="752"/>
      <c r="N43" s="752"/>
      <c r="O43" s="752"/>
      <c r="P43" s="760"/>
      <c r="Q43" s="752"/>
      <c r="R43" s="752"/>
      <c r="S43" s="752"/>
    </row>
    <row r="44" spans="1:19">
      <c r="A44" s="774">
        <f t="shared" si="5"/>
        <v>5.1699999999999964</v>
      </c>
      <c r="B44" s="752"/>
      <c r="C44" s="760">
        <f t="shared" si="1"/>
        <v>0</v>
      </c>
      <c r="D44" s="760">
        <f t="shared" si="2"/>
        <v>0</v>
      </c>
      <c r="E44" s="760"/>
      <c r="F44" s="760"/>
      <c r="G44" s="760">
        <f t="shared" si="3"/>
        <v>0</v>
      </c>
      <c r="H44" s="760"/>
      <c r="I44" s="760">
        <f t="shared" si="4"/>
        <v>0</v>
      </c>
      <c r="J44" s="760">
        <f t="shared" si="4"/>
        <v>0</v>
      </c>
      <c r="K44" s="760">
        <f t="shared" si="4"/>
        <v>0</v>
      </c>
      <c r="L44" s="760"/>
      <c r="M44" s="752"/>
      <c r="N44" s="752"/>
      <c r="O44" s="752"/>
      <c r="P44" s="760"/>
      <c r="Q44" s="752"/>
      <c r="R44" s="752"/>
      <c r="S44" s="752"/>
    </row>
    <row r="45" spans="1:19">
      <c r="A45" s="774">
        <f t="shared" si="5"/>
        <v>5.1799999999999962</v>
      </c>
      <c r="B45" s="752"/>
      <c r="C45" s="760">
        <f t="shared" si="1"/>
        <v>0</v>
      </c>
      <c r="D45" s="760">
        <f t="shared" si="2"/>
        <v>0</v>
      </c>
      <c r="E45" s="760"/>
      <c r="F45" s="760"/>
      <c r="G45" s="760">
        <f t="shared" si="3"/>
        <v>0</v>
      </c>
      <c r="H45" s="760"/>
      <c r="I45" s="760">
        <f t="shared" si="4"/>
        <v>0</v>
      </c>
      <c r="J45" s="760">
        <f t="shared" si="4"/>
        <v>0</v>
      </c>
      <c r="K45" s="760">
        <f t="shared" si="4"/>
        <v>0</v>
      </c>
      <c r="L45" s="760"/>
      <c r="M45" s="752"/>
      <c r="N45" s="752"/>
      <c r="O45" s="752"/>
      <c r="P45" s="760"/>
      <c r="Q45" s="752"/>
      <c r="R45" s="752"/>
      <c r="S45" s="752"/>
    </row>
    <row r="46" spans="1:19">
      <c r="A46" s="774">
        <f t="shared" si="5"/>
        <v>5.1899999999999959</v>
      </c>
      <c r="B46" s="752"/>
      <c r="C46" s="760">
        <f t="shared" si="1"/>
        <v>0</v>
      </c>
      <c r="D46" s="760">
        <f t="shared" si="2"/>
        <v>0</v>
      </c>
      <c r="E46" s="760"/>
      <c r="F46" s="760"/>
      <c r="G46" s="760">
        <f t="shared" si="3"/>
        <v>0</v>
      </c>
      <c r="H46" s="760"/>
      <c r="I46" s="760">
        <f t="shared" si="4"/>
        <v>0</v>
      </c>
      <c r="J46" s="760">
        <f t="shared" si="4"/>
        <v>0</v>
      </c>
      <c r="K46" s="760">
        <f t="shared" si="4"/>
        <v>0</v>
      </c>
      <c r="L46" s="760"/>
      <c r="M46" s="752"/>
      <c r="N46" s="752"/>
      <c r="O46" s="752"/>
      <c r="P46" s="760"/>
      <c r="Q46" s="752"/>
      <c r="R46" s="752"/>
      <c r="S46" s="752"/>
    </row>
    <row r="47" spans="1:19">
      <c r="A47" s="774">
        <f t="shared" si="5"/>
        <v>5.1999999999999957</v>
      </c>
      <c r="B47" s="752"/>
      <c r="C47" s="760">
        <f t="shared" si="1"/>
        <v>0</v>
      </c>
      <c r="D47" s="760">
        <f t="shared" si="2"/>
        <v>0</v>
      </c>
      <c r="E47" s="760"/>
      <c r="F47" s="760"/>
      <c r="G47" s="760">
        <f t="shared" si="3"/>
        <v>0</v>
      </c>
      <c r="H47" s="760"/>
      <c r="I47" s="760">
        <f t="shared" si="4"/>
        <v>0</v>
      </c>
      <c r="J47" s="760">
        <f t="shared" si="4"/>
        <v>0</v>
      </c>
      <c r="K47" s="760">
        <f t="shared" si="4"/>
        <v>0</v>
      </c>
      <c r="L47" s="760"/>
      <c r="M47" s="752"/>
      <c r="N47" s="752"/>
      <c r="O47" s="752"/>
      <c r="P47" s="760"/>
      <c r="Q47" s="752"/>
      <c r="R47" s="752"/>
      <c r="S47" s="752"/>
    </row>
    <row r="48" spans="1:19">
      <c r="A48" s="774">
        <f t="shared" si="5"/>
        <v>5.2099999999999955</v>
      </c>
      <c r="B48" s="752"/>
      <c r="C48" s="760">
        <f t="shared" si="1"/>
        <v>0</v>
      </c>
      <c r="D48" s="760">
        <f t="shared" si="2"/>
        <v>0</v>
      </c>
      <c r="E48" s="760"/>
      <c r="F48" s="760"/>
      <c r="G48" s="760">
        <f t="shared" si="3"/>
        <v>0</v>
      </c>
      <c r="H48" s="760"/>
      <c r="I48" s="760">
        <f t="shared" si="4"/>
        <v>0</v>
      </c>
      <c r="J48" s="760">
        <f t="shared" si="4"/>
        <v>0</v>
      </c>
      <c r="K48" s="760">
        <f t="shared" si="4"/>
        <v>0</v>
      </c>
      <c r="L48" s="760"/>
      <c r="M48" s="752"/>
      <c r="N48" s="752"/>
      <c r="O48" s="752"/>
      <c r="P48" s="760"/>
      <c r="Q48" s="752"/>
      <c r="R48" s="752"/>
      <c r="S48" s="752"/>
    </row>
    <row r="49" spans="1:19">
      <c r="A49" s="774">
        <f t="shared" si="5"/>
        <v>5.2199999999999953</v>
      </c>
      <c r="B49" s="752"/>
      <c r="C49" s="760">
        <f t="shared" ref="C49:C55" si="8">SUM(M49:O49)</f>
        <v>0</v>
      </c>
      <c r="D49" s="760">
        <f t="shared" ref="D49:D55" si="9">SUM(Q49:S49)</f>
        <v>0</v>
      </c>
      <c r="E49" s="760"/>
      <c r="F49" s="760"/>
      <c r="G49" s="760">
        <f t="shared" si="3"/>
        <v>0</v>
      </c>
      <c r="H49" s="760"/>
      <c r="I49" s="760">
        <f t="shared" si="4"/>
        <v>0</v>
      </c>
      <c r="J49" s="760">
        <f t="shared" si="4"/>
        <v>0</v>
      </c>
      <c r="K49" s="760">
        <f t="shared" si="4"/>
        <v>0</v>
      </c>
      <c r="L49" s="760"/>
      <c r="M49" s="752"/>
      <c r="N49" s="752"/>
      <c r="O49" s="752"/>
      <c r="P49" s="760"/>
      <c r="Q49" s="752"/>
      <c r="R49" s="752"/>
      <c r="S49" s="752"/>
    </row>
    <row r="50" spans="1:19">
      <c r="A50" s="774">
        <f t="shared" si="5"/>
        <v>5.2299999999999951</v>
      </c>
      <c r="B50" s="752"/>
      <c r="C50" s="760">
        <f t="shared" si="8"/>
        <v>0</v>
      </c>
      <c r="D50" s="760">
        <f t="shared" si="9"/>
        <v>0</v>
      </c>
      <c r="E50" s="760"/>
      <c r="F50" s="760"/>
      <c r="G50" s="760">
        <f t="shared" si="3"/>
        <v>0</v>
      </c>
      <c r="H50" s="760"/>
      <c r="I50" s="760">
        <f t="shared" si="4"/>
        <v>0</v>
      </c>
      <c r="J50" s="760">
        <f t="shared" si="4"/>
        <v>0</v>
      </c>
      <c r="K50" s="760">
        <f t="shared" si="4"/>
        <v>0</v>
      </c>
      <c r="L50" s="760"/>
      <c r="M50" s="752"/>
      <c r="N50" s="752"/>
      <c r="O50" s="752"/>
      <c r="P50" s="760"/>
      <c r="Q50" s="752"/>
      <c r="R50" s="752"/>
      <c r="S50" s="752"/>
    </row>
    <row r="51" spans="1:19">
      <c r="A51" s="774">
        <f t="shared" si="5"/>
        <v>5.2399999999999949</v>
      </c>
      <c r="B51" s="752"/>
      <c r="C51" s="760">
        <f t="shared" si="8"/>
        <v>0</v>
      </c>
      <c r="D51" s="760">
        <f t="shared" si="9"/>
        <v>0</v>
      </c>
      <c r="E51" s="760"/>
      <c r="F51" s="760"/>
      <c r="G51" s="760">
        <f>ROUND(SUM(C51:F51)/2,0)</f>
        <v>0</v>
      </c>
      <c r="H51" s="760"/>
      <c r="I51" s="760">
        <f t="shared" si="4"/>
        <v>0</v>
      </c>
      <c r="J51" s="760">
        <f t="shared" si="4"/>
        <v>0</v>
      </c>
      <c r="K51" s="760">
        <f t="shared" si="4"/>
        <v>0</v>
      </c>
      <c r="L51" s="760"/>
      <c r="M51" s="752"/>
      <c r="N51" s="752"/>
      <c r="O51" s="752"/>
      <c r="P51" s="760"/>
      <c r="Q51" s="752"/>
      <c r="R51" s="752"/>
      <c r="S51" s="752"/>
    </row>
    <row r="52" spans="1:19">
      <c r="A52" s="774">
        <f t="shared" si="5"/>
        <v>5.2499999999999947</v>
      </c>
      <c r="B52" s="752"/>
      <c r="C52" s="760">
        <f t="shared" si="8"/>
        <v>0</v>
      </c>
      <c r="D52" s="760">
        <f t="shared" si="9"/>
        <v>0</v>
      </c>
      <c r="E52" s="760"/>
      <c r="F52" s="760"/>
      <c r="G52" s="760">
        <f>ROUND(SUM(C52:F52)/2,0)</f>
        <v>0</v>
      </c>
      <c r="H52" s="760"/>
      <c r="I52" s="760">
        <f t="shared" si="4"/>
        <v>0</v>
      </c>
      <c r="J52" s="760">
        <f t="shared" si="4"/>
        <v>0</v>
      </c>
      <c r="K52" s="760">
        <f t="shared" si="4"/>
        <v>0</v>
      </c>
      <c r="L52" s="760"/>
      <c r="M52" s="752"/>
      <c r="N52" s="752"/>
      <c r="O52" s="752"/>
      <c r="P52" s="760"/>
      <c r="Q52" s="752"/>
      <c r="R52" s="752"/>
      <c r="S52" s="752"/>
    </row>
    <row r="53" spans="1:19">
      <c r="A53" s="774">
        <f t="shared" si="5"/>
        <v>5.2599999999999945</v>
      </c>
      <c r="B53" s="752"/>
      <c r="C53" s="760">
        <f t="shared" si="8"/>
        <v>0</v>
      </c>
      <c r="D53" s="760">
        <f t="shared" si="9"/>
        <v>0</v>
      </c>
      <c r="E53" s="760"/>
      <c r="F53" s="760"/>
      <c r="G53" s="760">
        <f>ROUND(SUM(C53:F53)/2,0)</f>
        <v>0</v>
      </c>
      <c r="H53" s="760"/>
      <c r="I53" s="760">
        <f t="shared" si="4"/>
        <v>0</v>
      </c>
      <c r="J53" s="760">
        <f t="shared" si="4"/>
        <v>0</v>
      </c>
      <c r="K53" s="760">
        <f t="shared" si="4"/>
        <v>0</v>
      </c>
      <c r="L53" s="760"/>
      <c r="M53" s="752"/>
      <c r="N53" s="752"/>
      <c r="O53" s="752"/>
      <c r="P53" s="760"/>
      <c r="Q53" s="752"/>
      <c r="R53" s="752"/>
      <c r="S53" s="752"/>
    </row>
    <row r="54" spans="1:19">
      <c r="A54" s="774">
        <f t="shared" si="5"/>
        <v>5.2699999999999942</v>
      </c>
      <c r="B54" s="752"/>
      <c r="C54" s="760">
        <f t="shared" si="8"/>
        <v>0</v>
      </c>
      <c r="D54" s="760">
        <f t="shared" si="9"/>
        <v>0</v>
      </c>
      <c r="E54" s="760"/>
      <c r="F54" s="760"/>
      <c r="G54" s="760">
        <f>ROUND(SUM(C54:F54)/2,0)</f>
        <v>0</v>
      </c>
      <c r="H54" s="760"/>
      <c r="I54" s="760">
        <f t="shared" si="4"/>
        <v>0</v>
      </c>
      <c r="J54" s="760">
        <f t="shared" si="4"/>
        <v>0</v>
      </c>
      <c r="K54" s="760">
        <f t="shared" si="4"/>
        <v>0</v>
      </c>
      <c r="L54" s="760"/>
      <c r="M54" s="752"/>
      <c r="N54" s="752"/>
      <c r="O54" s="752"/>
      <c r="P54" s="760"/>
      <c r="Q54" s="752"/>
      <c r="R54" s="752"/>
      <c r="S54" s="752"/>
    </row>
    <row r="55" spans="1:19">
      <c r="A55" s="774">
        <f t="shared" si="5"/>
        <v>5.279999999999994</v>
      </c>
      <c r="B55" s="752"/>
      <c r="C55" s="760">
        <f t="shared" si="8"/>
        <v>0</v>
      </c>
      <c r="D55" s="760">
        <f t="shared" si="9"/>
        <v>0</v>
      </c>
      <c r="E55" s="760"/>
      <c r="F55" s="760"/>
      <c r="G55" s="760">
        <f>ROUND(SUM(C55:F55)/2,0)</f>
        <v>0</v>
      </c>
      <c r="H55" s="760"/>
      <c r="I55" s="760">
        <f t="shared" si="4"/>
        <v>0</v>
      </c>
      <c r="J55" s="760">
        <f t="shared" si="4"/>
        <v>0</v>
      </c>
      <c r="K55" s="760">
        <f t="shared" si="4"/>
        <v>0</v>
      </c>
      <c r="L55" s="760"/>
      <c r="M55" s="752"/>
      <c r="N55" s="752"/>
      <c r="O55" s="752"/>
      <c r="P55" s="760"/>
      <c r="Q55" s="752"/>
      <c r="R55" s="752"/>
      <c r="S55" s="752"/>
    </row>
    <row r="56" spans="1:19">
      <c r="A56" s="774">
        <f t="shared" si="5"/>
        <v>5.2899999999999938</v>
      </c>
      <c r="B56" s="752"/>
      <c r="C56" s="760">
        <f t="shared" si="1"/>
        <v>0</v>
      </c>
      <c r="D56" s="760">
        <f t="shared" si="2"/>
        <v>0</v>
      </c>
      <c r="E56" s="760"/>
      <c r="F56" s="760"/>
      <c r="G56" s="760">
        <f t="shared" ref="G56:G68" si="10">ROUND(SUM(C56:F56)/2,0)</f>
        <v>0</v>
      </c>
      <c r="H56" s="760"/>
      <c r="I56" s="760">
        <f t="shared" si="4"/>
        <v>0</v>
      </c>
      <c r="J56" s="760">
        <f t="shared" si="4"/>
        <v>0</v>
      </c>
      <c r="K56" s="760">
        <f t="shared" si="4"/>
        <v>0</v>
      </c>
      <c r="L56" s="760"/>
      <c r="M56" s="752"/>
      <c r="N56" s="752"/>
      <c r="O56" s="752"/>
      <c r="P56" s="760"/>
      <c r="Q56" s="752"/>
      <c r="R56" s="752"/>
      <c r="S56" s="752"/>
    </row>
    <row r="57" spans="1:19">
      <c r="A57" s="774">
        <f t="shared" si="5"/>
        <v>5.2999999999999936</v>
      </c>
      <c r="B57" s="752"/>
      <c r="C57" s="760">
        <f t="shared" si="1"/>
        <v>0</v>
      </c>
      <c r="D57" s="760">
        <f t="shared" si="2"/>
        <v>0</v>
      </c>
      <c r="E57" s="760"/>
      <c r="F57" s="760"/>
      <c r="G57" s="760">
        <f t="shared" si="10"/>
        <v>0</v>
      </c>
      <c r="H57" s="760"/>
      <c r="I57" s="760">
        <f t="shared" si="4"/>
        <v>0</v>
      </c>
      <c r="J57" s="760">
        <f t="shared" si="4"/>
        <v>0</v>
      </c>
      <c r="K57" s="760">
        <f t="shared" si="4"/>
        <v>0</v>
      </c>
      <c r="L57" s="760"/>
      <c r="M57" s="752"/>
      <c r="N57" s="752"/>
      <c r="O57" s="752"/>
      <c r="P57" s="760"/>
      <c r="Q57" s="752"/>
      <c r="R57" s="752"/>
      <c r="S57" s="752"/>
    </row>
    <row r="58" spans="1:19">
      <c r="A58" s="774">
        <f t="shared" si="5"/>
        <v>5.3099999999999934</v>
      </c>
      <c r="B58" s="752"/>
      <c r="C58" s="760">
        <f>SUM(M58:O58)</f>
        <v>0</v>
      </c>
      <c r="D58" s="760">
        <f>SUM(Q58:S58)</f>
        <v>0</v>
      </c>
      <c r="E58" s="760"/>
      <c r="F58" s="760"/>
      <c r="G58" s="760">
        <f>ROUND(SUM(C58:F58)/2,0)</f>
        <v>0</v>
      </c>
      <c r="H58" s="760"/>
      <c r="I58" s="760">
        <f t="shared" si="4"/>
        <v>0</v>
      </c>
      <c r="J58" s="760">
        <f t="shared" si="4"/>
        <v>0</v>
      </c>
      <c r="K58" s="760">
        <f t="shared" si="4"/>
        <v>0</v>
      </c>
      <c r="L58" s="760"/>
      <c r="M58" s="752"/>
      <c r="N58" s="752"/>
      <c r="O58" s="752"/>
      <c r="P58" s="760"/>
      <c r="Q58" s="752"/>
      <c r="R58" s="752"/>
      <c r="S58" s="752"/>
    </row>
    <row r="59" spans="1:19">
      <c r="A59" s="774">
        <f t="shared" si="5"/>
        <v>5.3199999999999932</v>
      </c>
      <c r="B59" s="752"/>
      <c r="C59" s="760">
        <f t="shared" si="1"/>
        <v>0</v>
      </c>
      <c r="D59" s="760">
        <f t="shared" si="2"/>
        <v>0</v>
      </c>
      <c r="E59" s="760"/>
      <c r="F59" s="760"/>
      <c r="G59" s="760">
        <f t="shared" si="10"/>
        <v>0</v>
      </c>
      <c r="H59" s="760"/>
      <c r="I59" s="760">
        <f t="shared" si="4"/>
        <v>0</v>
      </c>
      <c r="J59" s="760">
        <f t="shared" si="4"/>
        <v>0</v>
      </c>
      <c r="K59" s="760">
        <f t="shared" si="4"/>
        <v>0</v>
      </c>
      <c r="L59" s="760"/>
      <c r="M59" s="752"/>
      <c r="N59" s="752"/>
      <c r="O59" s="752"/>
      <c r="P59" s="760"/>
      <c r="Q59" s="752"/>
      <c r="R59" s="752"/>
      <c r="S59" s="752"/>
    </row>
    <row r="60" spans="1:19">
      <c r="A60" s="774">
        <f t="shared" si="5"/>
        <v>5.329999999999993</v>
      </c>
      <c r="B60" s="752"/>
      <c r="C60" s="760">
        <f t="shared" si="1"/>
        <v>0</v>
      </c>
      <c r="D60" s="760">
        <f t="shared" si="2"/>
        <v>0</v>
      </c>
      <c r="E60" s="760"/>
      <c r="F60" s="760"/>
      <c r="G60" s="760">
        <f t="shared" si="10"/>
        <v>0</v>
      </c>
      <c r="H60" s="760"/>
      <c r="I60" s="760">
        <f t="shared" si="4"/>
        <v>0</v>
      </c>
      <c r="J60" s="760">
        <f t="shared" si="4"/>
        <v>0</v>
      </c>
      <c r="K60" s="760">
        <f t="shared" si="4"/>
        <v>0</v>
      </c>
      <c r="L60" s="760"/>
      <c r="M60" s="752"/>
      <c r="N60" s="752"/>
      <c r="O60" s="752"/>
      <c r="P60" s="760"/>
      <c r="Q60" s="752"/>
      <c r="R60" s="752"/>
      <c r="S60" s="752"/>
    </row>
    <row r="61" spans="1:19">
      <c r="A61" s="774">
        <f t="shared" si="5"/>
        <v>5.3399999999999928</v>
      </c>
      <c r="B61" s="752"/>
      <c r="C61" s="764">
        <f>SUM(M61:O61)</f>
        <v>0</v>
      </c>
      <c r="D61" s="764">
        <f>SUM(Q61:S61)</f>
        <v>0</v>
      </c>
      <c r="E61" s="764"/>
      <c r="F61" s="764"/>
      <c r="G61" s="764">
        <f>ROUND(SUM(C61:F61)/2,0)</f>
        <v>0</v>
      </c>
      <c r="H61" s="764"/>
      <c r="I61" s="764">
        <f t="shared" si="4"/>
        <v>0</v>
      </c>
      <c r="J61" s="764">
        <f t="shared" si="4"/>
        <v>0</v>
      </c>
      <c r="K61" s="764">
        <f t="shared" si="4"/>
        <v>0</v>
      </c>
      <c r="L61" s="764"/>
      <c r="M61" s="752"/>
      <c r="N61" s="752"/>
      <c r="O61" s="752"/>
      <c r="P61" s="764"/>
      <c r="Q61" s="752"/>
      <c r="R61" s="752"/>
      <c r="S61" s="752"/>
    </row>
    <row r="62" spans="1:19">
      <c r="A62" s="774">
        <f t="shared" si="5"/>
        <v>5.3499999999999925</v>
      </c>
      <c r="B62" s="752"/>
      <c r="C62" s="764">
        <f t="shared" si="1"/>
        <v>0</v>
      </c>
      <c r="D62" s="764">
        <f t="shared" si="2"/>
        <v>0</v>
      </c>
      <c r="E62" s="764"/>
      <c r="F62" s="764"/>
      <c r="G62" s="764">
        <f t="shared" si="10"/>
        <v>0</v>
      </c>
      <c r="H62" s="764"/>
      <c r="I62" s="764">
        <f t="shared" si="4"/>
        <v>0</v>
      </c>
      <c r="J62" s="764">
        <f t="shared" si="4"/>
        <v>0</v>
      </c>
      <c r="K62" s="764">
        <f t="shared" si="4"/>
        <v>0</v>
      </c>
      <c r="L62" s="764"/>
      <c r="M62" s="752"/>
      <c r="N62" s="752"/>
      <c r="O62" s="752"/>
      <c r="P62" s="764"/>
      <c r="Q62" s="752"/>
      <c r="R62" s="752"/>
      <c r="S62" s="752"/>
    </row>
    <row r="63" spans="1:19">
      <c r="A63" s="774">
        <f t="shared" si="5"/>
        <v>5.3599999999999923</v>
      </c>
      <c r="B63" s="752"/>
      <c r="C63" s="760">
        <f t="shared" si="1"/>
        <v>0</v>
      </c>
      <c r="D63" s="760">
        <f t="shared" si="2"/>
        <v>0</v>
      </c>
      <c r="E63" s="760"/>
      <c r="F63" s="760"/>
      <c r="G63" s="760">
        <f t="shared" si="10"/>
        <v>0</v>
      </c>
      <c r="H63" s="760"/>
      <c r="I63" s="760">
        <f t="shared" si="4"/>
        <v>0</v>
      </c>
      <c r="J63" s="760">
        <f t="shared" si="4"/>
        <v>0</v>
      </c>
      <c r="K63" s="760">
        <f t="shared" si="4"/>
        <v>0</v>
      </c>
      <c r="L63" s="760"/>
      <c r="M63" s="752"/>
      <c r="N63" s="752"/>
      <c r="O63" s="752"/>
      <c r="P63" s="760"/>
      <c r="Q63" s="752"/>
      <c r="R63" s="752"/>
      <c r="S63" s="752"/>
    </row>
    <row r="64" spans="1:19">
      <c r="A64" s="774">
        <f t="shared" si="5"/>
        <v>5.3699999999999921</v>
      </c>
      <c r="B64" s="752"/>
      <c r="C64" s="760">
        <f t="shared" si="1"/>
        <v>0</v>
      </c>
      <c r="D64" s="760">
        <f t="shared" si="2"/>
        <v>0</v>
      </c>
      <c r="E64" s="760"/>
      <c r="F64" s="760"/>
      <c r="G64" s="760">
        <f t="shared" si="10"/>
        <v>0</v>
      </c>
      <c r="H64" s="760"/>
      <c r="I64" s="760">
        <f t="shared" si="4"/>
        <v>0</v>
      </c>
      <c r="J64" s="760">
        <f t="shared" si="4"/>
        <v>0</v>
      </c>
      <c r="K64" s="760">
        <f t="shared" si="4"/>
        <v>0</v>
      </c>
      <c r="L64" s="760"/>
      <c r="M64" s="752"/>
      <c r="N64" s="752"/>
      <c r="O64" s="752"/>
      <c r="P64" s="760"/>
      <c r="Q64" s="752"/>
      <c r="R64" s="752"/>
      <c r="S64" s="752"/>
    </row>
    <row r="65" spans="1:19">
      <c r="A65" s="774">
        <f t="shared" si="5"/>
        <v>5.3799999999999919</v>
      </c>
      <c r="B65" s="752"/>
      <c r="C65" s="760">
        <f>SUM(M65:O65)</f>
        <v>0</v>
      </c>
      <c r="D65" s="760">
        <f>SUM(Q65:S65)</f>
        <v>0</v>
      </c>
      <c r="E65" s="760"/>
      <c r="F65" s="760"/>
      <c r="G65" s="760">
        <f>ROUND(SUM(C65:F65)/2,0)</f>
        <v>0</v>
      </c>
      <c r="H65" s="760"/>
      <c r="I65" s="760">
        <f t="shared" si="4"/>
        <v>0</v>
      </c>
      <c r="J65" s="760">
        <f t="shared" si="4"/>
        <v>0</v>
      </c>
      <c r="K65" s="760">
        <f t="shared" si="4"/>
        <v>0</v>
      </c>
      <c r="L65" s="760"/>
      <c r="M65" s="752"/>
      <c r="N65" s="752"/>
      <c r="O65" s="752"/>
      <c r="P65" s="760"/>
      <c r="Q65" s="752"/>
      <c r="R65" s="752"/>
      <c r="S65" s="752"/>
    </row>
    <row r="66" spans="1:19">
      <c r="A66" s="774">
        <f t="shared" si="5"/>
        <v>5.3899999999999917</v>
      </c>
      <c r="B66" s="752"/>
      <c r="C66" s="752"/>
      <c r="D66" s="752"/>
      <c r="E66" s="760">
        <f t="shared" ref="E66:F68" si="11">-C66</f>
        <v>0</v>
      </c>
      <c r="F66" s="760">
        <f t="shared" si="11"/>
        <v>0</v>
      </c>
      <c r="G66" s="760">
        <f t="shared" si="10"/>
        <v>0</v>
      </c>
      <c r="H66" s="760"/>
      <c r="I66" s="760"/>
      <c r="J66" s="760"/>
      <c r="K66" s="760"/>
      <c r="L66" s="760"/>
      <c r="M66" s="760"/>
      <c r="N66" s="760"/>
      <c r="O66" s="760"/>
      <c r="P66" s="760"/>
      <c r="Q66" s="760"/>
      <c r="R66" s="760"/>
      <c r="S66" s="760"/>
    </row>
    <row r="67" spans="1:19">
      <c r="A67" s="774">
        <f t="shared" si="5"/>
        <v>5.3999999999999915</v>
      </c>
      <c r="B67" s="752"/>
      <c r="C67" s="752"/>
      <c r="D67" s="752"/>
      <c r="E67" s="760">
        <f t="shared" si="11"/>
        <v>0</v>
      </c>
      <c r="F67" s="760">
        <f t="shared" si="11"/>
        <v>0</v>
      </c>
      <c r="G67" s="760">
        <f t="shared" si="10"/>
        <v>0</v>
      </c>
      <c r="H67" s="760"/>
      <c r="I67" s="760"/>
      <c r="J67" s="760"/>
      <c r="K67" s="760"/>
      <c r="L67" s="760"/>
      <c r="M67" s="760"/>
      <c r="N67" s="760"/>
      <c r="O67" s="760"/>
      <c r="P67" s="760"/>
      <c r="Q67" s="760"/>
      <c r="R67" s="760"/>
      <c r="S67" s="760"/>
    </row>
    <row r="68" spans="1:19">
      <c r="A68" s="774">
        <f t="shared" si="5"/>
        <v>5.4099999999999913</v>
      </c>
      <c r="B68" s="752"/>
      <c r="C68" s="752"/>
      <c r="D68" s="752"/>
      <c r="E68" s="760">
        <f t="shared" si="11"/>
        <v>0</v>
      </c>
      <c r="F68" s="760">
        <f t="shared" si="11"/>
        <v>0</v>
      </c>
      <c r="G68" s="760">
        <f t="shared" si="10"/>
        <v>0</v>
      </c>
      <c r="H68" s="760"/>
      <c r="I68" s="760"/>
      <c r="J68" s="760"/>
      <c r="K68" s="760"/>
      <c r="L68" s="760"/>
      <c r="M68" s="760"/>
      <c r="N68" s="760"/>
      <c r="O68" s="760"/>
      <c r="P68" s="760"/>
      <c r="Q68" s="760"/>
      <c r="R68" s="760"/>
      <c r="S68" s="760"/>
    </row>
    <row r="69" spans="1:19">
      <c r="A69" s="750"/>
    </row>
    <row r="70" spans="1:19">
      <c r="A70" s="767"/>
      <c r="B70" s="754"/>
      <c r="C70" s="760"/>
      <c r="D70" s="760"/>
      <c r="E70" s="760"/>
      <c r="F70" s="760"/>
      <c r="G70" s="760"/>
      <c r="H70" s="760"/>
      <c r="I70" s="760"/>
      <c r="J70" s="760"/>
      <c r="K70" s="760"/>
      <c r="L70" s="760"/>
      <c r="M70" s="760"/>
      <c r="N70" s="760"/>
      <c r="O70" s="760"/>
      <c r="P70" s="760"/>
      <c r="Q70" s="760"/>
      <c r="R70" s="760"/>
      <c r="S70" s="760"/>
    </row>
    <row r="71" spans="1:19" ht="13.5" thickBot="1">
      <c r="A71" s="767">
        <v>6</v>
      </c>
      <c r="B71" s="750" t="s">
        <v>674</v>
      </c>
      <c r="C71" s="762">
        <f>SUM(C28:C70)</f>
        <v>0</v>
      </c>
      <c r="D71" s="762">
        <f>SUM(D28:D70)</f>
        <v>0</v>
      </c>
      <c r="E71" s="762">
        <f>SUM(E28:E70)</f>
        <v>0</v>
      </c>
      <c r="F71" s="762">
        <f>SUM(F28:F70)</f>
        <v>0</v>
      </c>
      <c r="G71" s="762">
        <f>SUM(G28:G70)</f>
        <v>0</v>
      </c>
      <c r="H71" s="760"/>
      <c r="I71" s="762">
        <f>SUM(I28:I70)</f>
        <v>0</v>
      </c>
      <c r="J71" s="762">
        <f>SUM(J28:J70)</f>
        <v>0</v>
      </c>
      <c r="K71" s="762">
        <f>SUM(K28:K70)</f>
        <v>0</v>
      </c>
      <c r="L71" s="760"/>
      <c r="M71" s="762">
        <f>SUM(M28:M70)</f>
        <v>0</v>
      </c>
      <c r="N71" s="762">
        <f>SUM(N28:N70)</f>
        <v>0</v>
      </c>
      <c r="O71" s="762">
        <f>SUM(O28:O70)</f>
        <v>0</v>
      </c>
      <c r="P71" s="760"/>
      <c r="Q71" s="762">
        <f>SUM(Q28:Q70)</f>
        <v>0</v>
      </c>
      <c r="R71" s="762">
        <f>SUM(R28:R70)</f>
        <v>0</v>
      </c>
      <c r="S71" s="762">
        <f>SUM(S28:S70)</f>
        <v>0</v>
      </c>
    </row>
    <row r="72" spans="1:19" ht="13.5" thickTop="1">
      <c r="A72" s="767">
        <f>A71+1</f>
        <v>7</v>
      </c>
      <c r="B72" s="754" t="s">
        <v>675</v>
      </c>
      <c r="C72" s="763">
        <f>SUM(C34,C35,C61,C62)</f>
        <v>0</v>
      </c>
      <c r="D72" s="763">
        <f>SUM(D34,D35,D61,D62)</f>
        <v>0</v>
      </c>
      <c r="E72" s="763">
        <f>SUM(E34,E35,E61,E62)</f>
        <v>0</v>
      </c>
      <c r="F72" s="763">
        <f>SUM(F34,F35,F61,F62)</f>
        <v>0</v>
      </c>
      <c r="G72" s="763">
        <f>SUM(G34,G35,G61,G62)</f>
        <v>0</v>
      </c>
      <c r="H72" s="760"/>
      <c r="I72" s="763">
        <f>SUM(I34,I35,I61,I62)</f>
        <v>0</v>
      </c>
      <c r="J72" s="763">
        <f>SUM(J34,J35,J61,J62)</f>
        <v>0</v>
      </c>
      <c r="K72" s="763">
        <f>SUM(K34,K35,K61,K62)</f>
        <v>0</v>
      </c>
      <c r="L72" s="763"/>
      <c r="M72" s="763">
        <f>SUM(M34,M35,M61,M62)</f>
        <v>0</v>
      </c>
      <c r="N72" s="763">
        <f>SUM(N34,N35,N61,N62)</f>
        <v>0</v>
      </c>
      <c r="O72" s="763">
        <f>SUM(O34,O35,O61,O62)</f>
        <v>0</v>
      </c>
      <c r="P72" s="760"/>
      <c r="Q72" s="763">
        <f>SUM(Q34,Q35,Q61,Q62)</f>
        <v>0</v>
      </c>
      <c r="R72" s="763">
        <f>SUM(R34,R35,R61,R62)</f>
        <v>0</v>
      </c>
      <c r="S72" s="763">
        <f>SUM(S34,S35,S61,S62)</f>
        <v>0</v>
      </c>
    </row>
    <row r="73" spans="1:19">
      <c r="A73" s="767"/>
      <c r="C73" s="760"/>
      <c r="D73" s="760"/>
      <c r="E73" s="760"/>
      <c r="F73" s="760"/>
      <c r="G73" s="760"/>
      <c r="H73" s="760"/>
      <c r="I73" s="760"/>
      <c r="J73" s="760"/>
      <c r="K73" s="760"/>
      <c r="L73" s="760"/>
      <c r="M73" s="760"/>
      <c r="N73" s="760"/>
      <c r="O73" s="760"/>
      <c r="P73" s="760"/>
      <c r="Q73" s="760"/>
      <c r="R73" s="760"/>
      <c r="S73" s="760"/>
    </row>
    <row r="74" spans="1:19">
      <c r="A74" s="767">
        <v>8</v>
      </c>
      <c r="B74" s="750" t="s">
        <v>676</v>
      </c>
      <c r="C74" s="760" t="s">
        <v>406</v>
      </c>
      <c r="D74" s="760"/>
      <c r="E74" s="760"/>
      <c r="F74" s="760"/>
      <c r="G74" s="760"/>
      <c r="H74" s="760"/>
      <c r="I74" s="760"/>
      <c r="J74" s="760"/>
      <c r="K74" s="760"/>
      <c r="L74" s="760"/>
      <c r="M74" s="760"/>
      <c r="N74" s="760"/>
      <c r="O74" s="760"/>
      <c r="P74" s="760"/>
      <c r="Q74" s="760"/>
      <c r="R74" s="760"/>
      <c r="S74" s="760"/>
    </row>
    <row r="75" spans="1:19">
      <c r="A75" s="767"/>
      <c r="B75" s="754"/>
      <c r="C75" s="760"/>
      <c r="D75" s="760"/>
      <c r="E75" s="760"/>
      <c r="F75" s="760"/>
      <c r="G75" s="760"/>
      <c r="H75" s="760"/>
      <c r="I75" s="760"/>
      <c r="J75" s="760"/>
      <c r="K75" s="760"/>
      <c r="L75" s="760"/>
      <c r="M75" s="760"/>
      <c r="N75" s="760"/>
      <c r="O75" s="760"/>
      <c r="P75" s="760"/>
      <c r="Q75" s="760"/>
      <c r="R75" s="760"/>
      <c r="S75" s="760"/>
    </row>
    <row r="76" spans="1:19">
      <c r="A76" s="774">
        <v>9.01</v>
      </c>
      <c r="B76" s="752"/>
      <c r="C76" s="760">
        <f>SUM(M76:O76)</f>
        <v>0</v>
      </c>
      <c r="D76" s="760">
        <f t="shared" ref="D76:D139" si="12">SUM(Q76:S76)</f>
        <v>0</v>
      </c>
      <c r="E76" s="760"/>
      <c r="F76" s="760"/>
      <c r="G76" s="760">
        <f t="shared" ref="G76:G130" si="13">ROUND(SUM(C76:F76)/2,0)</f>
        <v>0</v>
      </c>
      <c r="H76" s="760"/>
      <c r="I76" s="760">
        <f>(M76+Q76)/2</f>
        <v>0</v>
      </c>
      <c r="J76" s="760">
        <f>(N76+R76)/2</f>
        <v>0</v>
      </c>
      <c r="K76" s="760">
        <f>(O76+S76)/2</f>
        <v>0</v>
      </c>
      <c r="L76" s="760"/>
      <c r="M76" s="752"/>
      <c r="N76" s="752"/>
      <c r="O76" s="752"/>
      <c r="P76" s="760"/>
      <c r="Q76" s="752"/>
      <c r="R76" s="752"/>
      <c r="S76" s="752"/>
    </row>
    <row r="77" spans="1:19">
      <c r="A77" s="774">
        <f>A76+0.01</f>
        <v>9.02</v>
      </c>
      <c r="B77" s="752"/>
      <c r="C77" s="760">
        <f t="shared" ref="C77:C140" si="14">SUM(M77:O77)</f>
        <v>0</v>
      </c>
      <c r="D77" s="760">
        <f t="shared" si="12"/>
        <v>0</v>
      </c>
      <c r="E77" s="760"/>
      <c r="F77" s="760"/>
      <c r="G77" s="760">
        <f>ROUND(SUM(C77:F77)/2,0)</f>
        <v>0</v>
      </c>
      <c r="H77" s="760"/>
      <c r="I77" s="760">
        <f t="shared" ref="I77:K136" si="15">(M77+Q77)/2</f>
        <v>0</v>
      </c>
      <c r="J77" s="760">
        <f t="shared" si="15"/>
        <v>0</v>
      </c>
      <c r="K77" s="760">
        <f t="shared" si="15"/>
        <v>0</v>
      </c>
      <c r="L77" s="760"/>
      <c r="M77" s="752"/>
      <c r="N77" s="752"/>
      <c r="O77" s="752"/>
      <c r="P77" s="760"/>
      <c r="Q77" s="752"/>
      <c r="R77" s="752"/>
      <c r="S77" s="752"/>
    </row>
    <row r="78" spans="1:19">
      <c r="A78" s="774">
        <f t="shared" ref="A78:A141" si="16">A77+0.01</f>
        <v>9.0299999999999994</v>
      </c>
      <c r="B78" s="752"/>
      <c r="C78" s="760">
        <f t="shared" si="14"/>
        <v>0</v>
      </c>
      <c r="D78" s="760">
        <f t="shared" si="12"/>
        <v>0</v>
      </c>
      <c r="E78" s="760"/>
      <c r="F78" s="760"/>
      <c r="G78" s="760">
        <f t="shared" si="13"/>
        <v>0</v>
      </c>
      <c r="H78" s="760"/>
      <c r="I78" s="760">
        <f t="shared" si="15"/>
        <v>0</v>
      </c>
      <c r="J78" s="760">
        <f t="shared" si="15"/>
        <v>0</v>
      </c>
      <c r="K78" s="760">
        <f t="shared" si="15"/>
        <v>0</v>
      </c>
      <c r="L78" s="760"/>
      <c r="M78" s="752"/>
      <c r="N78" s="752"/>
      <c r="O78" s="752"/>
      <c r="P78" s="760"/>
      <c r="Q78" s="752"/>
      <c r="R78" s="752"/>
      <c r="S78" s="752"/>
    </row>
    <row r="79" spans="1:19">
      <c r="A79" s="774">
        <f t="shared" si="16"/>
        <v>9.0399999999999991</v>
      </c>
      <c r="B79" s="752"/>
      <c r="C79" s="760">
        <f t="shared" si="14"/>
        <v>0</v>
      </c>
      <c r="D79" s="760">
        <f t="shared" si="12"/>
        <v>0</v>
      </c>
      <c r="E79" s="760"/>
      <c r="F79" s="760"/>
      <c r="G79" s="760">
        <f t="shared" si="13"/>
        <v>0</v>
      </c>
      <c r="H79" s="760"/>
      <c r="I79" s="760">
        <f t="shared" si="15"/>
        <v>0</v>
      </c>
      <c r="J79" s="760">
        <f t="shared" si="15"/>
        <v>0</v>
      </c>
      <c r="K79" s="760">
        <f t="shared" si="15"/>
        <v>0</v>
      </c>
      <c r="L79" s="760"/>
      <c r="M79" s="752"/>
      <c r="N79" s="752"/>
      <c r="O79" s="752"/>
      <c r="P79" s="760"/>
      <c r="Q79" s="752"/>
      <c r="R79" s="752"/>
      <c r="S79" s="752"/>
    </row>
    <row r="80" spans="1:19" hidden="1">
      <c r="A80" s="774">
        <f t="shared" si="16"/>
        <v>9.0499999999999989</v>
      </c>
      <c r="B80" s="752"/>
      <c r="C80" s="760">
        <f t="shared" si="14"/>
        <v>0</v>
      </c>
      <c r="D80" s="760">
        <f t="shared" si="12"/>
        <v>0</v>
      </c>
      <c r="E80" s="760"/>
      <c r="F80" s="760"/>
      <c r="G80" s="760">
        <f t="shared" si="13"/>
        <v>0</v>
      </c>
      <c r="H80" s="760"/>
      <c r="I80" s="760">
        <f t="shared" si="15"/>
        <v>0</v>
      </c>
      <c r="J80" s="760">
        <f t="shared" si="15"/>
        <v>0</v>
      </c>
      <c r="K80" s="760">
        <f t="shared" si="15"/>
        <v>0</v>
      </c>
      <c r="L80" s="760"/>
      <c r="M80" s="752"/>
      <c r="N80" s="752"/>
      <c r="O80" s="752"/>
      <c r="P80" s="760"/>
      <c r="Q80" s="752"/>
      <c r="R80" s="752"/>
      <c r="S80" s="752"/>
    </row>
    <row r="81" spans="1:19" hidden="1">
      <c r="A81" s="774">
        <f t="shared" si="16"/>
        <v>9.0599999999999987</v>
      </c>
      <c r="B81" s="752"/>
      <c r="C81" s="760">
        <f t="shared" si="14"/>
        <v>0</v>
      </c>
      <c r="D81" s="760">
        <f t="shared" si="12"/>
        <v>0</v>
      </c>
      <c r="E81" s="760"/>
      <c r="F81" s="760"/>
      <c r="G81" s="760">
        <f t="shared" si="13"/>
        <v>0</v>
      </c>
      <c r="H81" s="760"/>
      <c r="I81" s="760">
        <f t="shared" si="15"/>
        <v>0</v>
      </c>
      <c r="J81" s="760">
        <f t="shared" si="15"/>
        <v>0</v>
      </c>
      <c r="K81" s="760">
        <f t="shared" si="15"/>
        <v>0</v>
      </c>
      <c r="L81" s="760"/>
      <c r="M81" s="752"/>
      <c r="N81" s="752"/>
      <c r="O81" s="752"/>
      <c r="P81" s="760"/>
      <c r="Q81" s="752"/>
      <c r="R81" s="752"/>
      <c r="S81" s="752"/>
    </row>
    <row r="82" spans="1:19" hidden="1">
      <c r="A82" s="774">
        <f t="shared" si="16"/>
        <v>9.0699999999999985</v>
      </c>
      <c r="B82" s="752"/>
      <c r="C82" s="760">
        <f t="shared" si="14"/>
        <v>0</v>
      </c>
      <c r="D82" s="760">
        <f t="shared" si="12"/>
        <v>0</v>
      </c>
      <c r="E82" s="760"/>
      <c r="F82" s="760"/>
      <c r="G82" s="760">
        <f>ROUND(SUM(C82:F82)/2,0)</f>
        <v>0</v>
      </c>
      <c r="H82" s="760"/>
      <c r="I82" s="760">
        <f t="shared" si="15"/>
        <v>0</v>
      </c>
      <c r="J82" s="760">
        <f t="shared" si="15"/>
        <v>0</v>
      </c>
      <c r="K82" s="760">
        <f t="shared" si="15"/>
        <v>0</v>
      </c>
      <c r="L82" s="760"/>
      <c r="M82" s="752"/>
      <c r="N82" s="752"/>
      <c r="O82" s="752"/>
      <c r="P82" s="760"/>
      <c r="Q82" s="752"/>
      <c r="R82" s="752"/>
      <c r="S82" s="752"/>
    </row>
    <row r="83" spans="1:19" hidden="1">
      <c r="A83" s="774">
        <f t="shared" si="16"/>
        <v>9.0799999999999983</v>
      </c>
      <c r="B83" s="752"/>
      <c r="C83" s="760">
        <f t="shared" si="14"/>
        <v>0</v>
      </c>
      <c r="D83" s="760">
        <f t="shared" si="12"/>
        <v>0</v>
      </c>
      <c r="E83" s="760"/>
      <c r="F83" s="760"/>
      <c r="G83" s="760">
        <f>ROUND(SUM(C83:F83)/2,0)</f>
        <v>0</v>
      </c>
      <c r="H83" s="760"/>
      <c r="I83" s="760">
        <f t="shared" si="15"/>
        <v>0</v>
      </c>
      <c r="J83" s="760">
        <f t="shared" si="15"/>
        <v>0</v>
      </c>
      <c r="K83" s="760">
        <f t="shared" si="15"/>
        <v>0</v>
      </c>
      <c r="L83" s="760"/>
      <c r="M83" s="752"/>
      <c r="N83" s="752"/>
      <c r="O83" s="752"/>
      <c r="P83" s="760"/>
      <c r="Q83" s="752"/>
      <c r="R83" s="752"/>
      <c r="S83" s="752"/>
    </row>
    <row r="84" spans="1:19" hidden="1">
      <c r="A84" s="774">
        <f t="shared" si="16"/>
        <v>9.0899999999999981</v>
      </c>
      <c r="B84" s="752"/>
      <c r="C84" s="760">
        <f t="shared" si="14"/>
        <v>0</v>
      </c>
      <c r="D84" s="760">
        <f t="shared" si="12"/>
        <v>0</v>
      </c>
      <c r="E84" s="760"/>
      <c r="F84" s="760"/>
      <c r="G84" s="760">
        <f t="shared" si="13"/>
        <v>0</v>
      </c>
      <c r="H84" s="760"/>
      <c r="I84" s="760">
        <f t="shared" si="15"/>
        <v>0</v>
      </c>
      <c r="J84" s="760">
        <f t="shared" si="15"/>
        <v>0</v>
      </c>
      <c r="K84" s="760">
        <f t="shared" si="15"/>
        <v>0</v>
      </c>
      <c r="L84" s="760"/>
      <c r="M84" s="752"/>
      <c r="N84" s="752"/>
      <c r="O84" s="752"/>
      <c r="P84" s="760"/>
      <c r="Q84" s="752"/>
      <c r="R84" s="752"/>
      <c r="S84" s="752"/>
    </row>
    <row r="85" spans="1:19" hidden="1">
      <c r="A85" s="774">
        <f t="shared" si="16"/>
        <v>9.0999999999999979</v>
      </c>
      <c r="B85" s="752"/>
      <c r="C85" s="760">
        <f t="shared" si="14"/>
        <v>0</v>
      </c>
      <c r="D85" s="760">
        <f t="shared" si="12"/>
        <v>0</v>
      </c>
      <c r="E85" s="760"/>
      <c r="F85" s="760"/>
      <c r="G85" s="760">
        <f>ROUND(SUM(C85:F85)/2,0)</f>
        <v>0</v>
      </c>
      <c r="H85" s="760"/>
      <c r="I85" s="760">
        <f t="shared" si="15"/>
        <v>0</v>
      </c>
      <c r="J85" s="760">
        <f t="shared" si="15"/>
        <v>0</v>
      </c>
      <c r="K85" s="760">
        <f t="shared" si="15"/>
        <v>0</v>
      </c>
      <c r="L85" s="760"/>
      <c r="M85" s="752"/>
      <c r="N85" s="752"/>
      <c r="O85" s="752"/>
      <c r="P85" s="760"/>
      <c r="Q85" s="752"/>
      <c r="R85" s="752"/>
      <c r="S85" s="752"/>
    </row>
    <row r="86" spans="1:19" hidden="1">
      <c r="A86" s="774">
        <f t="shared" si="16"/>
        <v>9.1099999999999977</v>
      </c>
      <c r="B86" s="752"/>
      <c r="C86" s="760">
        <f t="shared" si="14"/>
        <v>0</v>
      </c>
      <c r="D86" s="760">
        <f t="shared" si="12"/>
        <v>0</v>
      </c>
      <c r="E86" s="760"/>
      <c r="F86" s="760"/>
      <c r="G86" s="760">
        <f>ROUND(SUM(C86:F86)/2,0)</f>
        <v>0</v>
      </c>
      <c r="H86" s="760"/>
      <c r="I86" s="760">
        <f t="shared" si="15"/>
        <v>0</v>
      </c>
      <c r="J86" s="760">
        <f t="shared" si="15"/>
        <v>0</v>
      </c>
      <c r="K86" s="760">
        <f t="shared" si="15"/>
        <v>0</v>
      </c>
      <c r="L86" s="760"/>
      <c r="M86" s="752"/>
      <c r="N86" s="752"/>
      <c r="O86" s="752"/>
      <c r="P86" s="760"/>
      <c r="Q86" s="752"/>
      <c r="R86" s="752"/>
      <c r="S86" s="752"/>
    </row>
    <row r="87" spans="1:19" hidden="1">
      <c r="A87" s="774">
        <f t="shared" si="16"/>
        <v>9.1199999999999974</v>
      </c>
      <c r="B87" s="752"/>
      <c r="C87" s="760">
        <f t="shared" si="14"/>
        <v>0</v>
      </c>
      <c r="D87" s="760">
        <f t="shared" si="12"/>
        <v>0</v>
      </c>
      <c r="E87" s="760"/>
      <c r="F87" s="760"/>
      <c r="G87" s="760">
        <f t="shared" si="13"/>
        <v>0</v>
      </c>
      <c r="H87" s="760"/>
      <c r="I87" s="760">
        <f t="shared" si="15"/>
        <v>0</v>
      </c>
      <c r="J87" s="760">
        <f t="shared" si="15"/>
        <v>0</v>
      </c>
      <c r="K87" s="760">
        <f t="shared" si="15"/>
        <v>0</v>
      </c>
      <c r="L87" s="760"/>
      <c r="M87" s="752"/>
      <c r="N87" s="752"/>
      <c r="O87" s="752"/>
      <c r="P87" s="760"/>
      <c r="Q87" s="752"/>
      <c r="R87" s="752"/>
      <c r="S87" s="752"/>
    </row>
    <row r="88" spans="1:19" hidden="1">
      <c r="A88" s="774">
        <f t="shared" si="16"/>
        <v>9.1299999999999972</v>
      </c>
      <c r="B88" s="752"/>
      <c r="C88" s="760">
        <f t="shared" si="14"/>
        <v>0</v>
      </c>
      <c r="D88" s="760">
        <f t="shared" si="12"/>
        <v>0</v>
      </c>
      <c r="E88" s="760"/>
      <c r="F88" s="760"/>
      <c r="G88" s="760">
        <f t="shared" si="13"/>
        <v>0</v>
      </c>
      <c r="H88" s="760"/>
      <c r="I88" s="760">
        <f t="shared" si="15"/>
        <v>0</v>
      </c>
      <c r="J88" s="760">
        <f t="shared" si="15"/>
        <v>0</v>
      </c>
      <c r="K88" s="760">
        <f t="shared" si="15"/>
        <v>0</v>
      </c>
      <c r="L88" s="760"/>
      <c r="M88" s="752"/>
      <c r="N88" s="752"/>
      <c r="O88" s="752"/>
      <c r="P88" s="760"/>
      <c r="Q88" s="752"/>
      <c r="R88" s="752"/>
      <c r="S88" s="752"/>
    </row>
    <row r="89" spans="1:19" hidden="1">
      <c r="A89" s="774">
        <f t="shared" si="16"/>
        <v>9.139999999999997</v>
      </c>
      <c r="B89" s="752"/>
      <c r="C89" s="760">
        <f t="shared" si="14"/>
        <v>0</v>
      </c>
      <c r="D89" s="760">
        <f t="shared" si="12"/>
        <v>0</v>
      </c>
      <c r="E89" s="760"/>
      <c r="F89" s="760"/>
      <c r="G89" s="760">
        <f t="shared" si="13"/>
        <v>0</v>
      </c>
      <c r="H89" s="760"/>
      <c r="I89" s="760">
        <f t="shared" si="15"/>
        <v>0</v>
      </c>
      <c r="J89" s="760">
        <f t="shared" si="15"/>
        <v>0</v>
      </c>
      <c r="K89" s="760">
        <f t="shared" si="15"/>
        <v>0</v>
      </c>
      <c r="L89" s="760"/>
      <c r="M89" s="752"/>
      <c r="N89" s="752"/>
      <c r="O89" s="752"/>
      <c r="P89" s="760"/>
      <c r="Q89" s="752"/>
      <c r="R89" s="752"/>
      <c r="S89" s="752"/>
    </row>
    <row r="90" spans="1:19" hidden="1">
      <c r="A90" s="774">
        <f t="shared" si="16"/>
        <v>9.1499999999999968</v>
      </c>
      <c r="B90" s="752"/>
      <c r="C90" s="760">
        <f t="shared" si="14"/>
        <v>0</v>
      </c>
      <c r="D90" s="760">
        <f t="shared" si="12"/>
        <v>0</v>
      </c>
      <c r="E90" s="760"/>
      <c r="F90" s="760"/>
      <c r="G90" s="760">
        <f t="shared" si="13"/>
        <v>0</v>
      </c>
      <c r="H90" s="760"/>
      <c r="I90" s="760">
        <f t="shared" si="15"/>
        <v>0</v>
      </c>
      <c r="J90" s="760">
        <f t="shared" si="15"/>
        <v>0</v>
      </c>
      <c r="K90" s="760">
        <f t="shared" si="15"/>
        <v>0</v>
      </c>
      <c r="L90" s="760"/>
      <c r="M90" s="752"/>
      <c r="N90" s="752"/>
      <c r="O90" s="752"/>
      <c r="P90" s="760"/>
      <c r="Q90" s="752"/>
      <c r="R90" s="752"/>
      <c r="S90" s="752"/>
    </row>
    <row r="91" spans="1:19" hidden="1">
      <c r="A91" s="774">
        <f t="shared" si="16"/>
        <v>9.1599999999999966</v>
      </c>
      <c r="B91" s="752"/>
      <c r="C91" s="760">
        <f t="shared" si="14"/>
        <v>0</v>
      </c>
      <c r="D91" s="760">
        <f t="shared" si="12"/>
        <v>0</v>
      </c>
      <c r="E91" s="760"/>
      <c r="F91" s="760"/>
      <c r="G91" s="760">
        <f t="shared" si="13"/>
        <v>0</v>
      </c>
      <c r="H91" s="760"/>
      <c r="I91" s="760">
        <f t="shared" si="15"/>
        <v>0</v>
      </c>
      <c r="J91" s="760">
        <f t="shared" si="15"/>
        <v>0</v>
      </c>
      <c r="K91" s="760">
        <f t="shared" si="15"/>
        <v>0</v>
      </c>
      <c r="L91" s="760"/>
      <c r="M91" s="752"/>
      <c r="N91" s="752"/>
      <c r="O91" s="752"/>
      <c r="P91" s="760"/>
      <c r="Q91" s="752"/>
      <c r="R91" s="752"/>
      <c r="S91" s="752"/>
    </row>
    <row r="92" spans="1:19" hidden="1">
      <c r="A92" s="774">
        <f t="shared" si="16"/>
        <v>9.1699999999999964</v>
      </c>
      <c r="B92" s="752"/>
      <c r="C92" s="760">
        <f t="shared" si="14"/>
        <v>0</v>
      </c>
      <c r="D92" s="760">
        <f t="shared" si="12"/>
        <v>0</v>
      </c>
      <c r="E92" s="760"/>
      <c r="F92" s="760"/>
      <c r="G92" s="760">
        <f t="shared" si="13"/>
        <v>0</v>
      </c>
      <c r="H92" s="760"/>
      <c r="I92" s="760">
        <f t="shared" si="15"/>
        <v>0</v>
      </c>
      <c r="J92" s="760">
        <f t="shared" si="15"/>
        <v>0</v>
      </c>
      <c r="K92" s="760">
        <f t="shared" si="15"/>
        <v>0</v>
      </c>
      <c r="L92" s="760"/>
      <c r="M92" s="752"/>
      <c r="N92" s="752"/>
      <c r="O92" s="752"/>
      <c r="P92" s="760"/>
      <c r="Q92" s="752"/>
      <c r="R92" s="752"/>
      <c r="S92" s="752"/>
    </row>
    <row r="93" spans="1:19" hidden="1">
      <c r="A93" s="774">
        <f t="shared" si="16"/>
        <v>9.1799999999999962</v>
      </c>
      <c r="B93" s="752"/>
      <c r="C93" s="760">
        <f t="shared" si="14"/>
        <v>0</v>
      </c>
      <c r="D93" s="760">
        <f t="shared" si="12"/>
        <v>0</v>
      </c>
      <c r="E93" s="760"/>
      <c r="F93" s="760"/>
      <c r="G93" s="760">
        <f t="shared" si="13"/>
        <v>0</v>
      </c>
      <c r="H93" s="760"/>
      <c r="I93" s="760">
        <f t="shared" si="15"/>
        <v>0</v>
      </c>
      <c r="J93" s="760">
        <f t="shared" si="15"/>
        <v>0</v>
      </c>
      <c r="K93" s="760">
        <f t="shared" si="15"/>
        <v>0</v>
      </c>
      <c r="L93" s="760"/>
      <c r="M93" s="752"/>
      <c r="N93" s="752"/>
      <c r="O93" s="752"/>
      <c r="P93" s="760"/>
      <c r="Q93" s="752"/>
      <c r="R93" s="752"/>
      <c r="S93" s="752"/>
    </row>
    <row r="94" spans="1:19" hidden="1">
      <c r="A94" s="774">
        <f t="shared" si="16"/>
        <v>9.1899999999999959</v>
      </c>
      <c r="B94" s="752"/>
      <c r="C94" s="760">
        <f t="shared" si="14"/>
        <v>0</v>
      </c>
      <c r="D94" s="760">
        <f t="shared" si="12"/>
        <v>0</v>
      </c>
      <c r="E94" s="760"/>
      <c r="F94" s="760"/>
      <c r="G94" s="760">
        <f t="shared" si="13"/>
        <v>0</v>
      </c>
      <c r="H94" s="760"/>
      <c r="I94" s="760">
        <f t="shared" si="15"/>
        <v>0</v>
      </c>
      <c r="J94" s="760">
        <f t="shared" si="15"/>
        <v>0</v>
      </c>
      <c r="K94" s="760">
        <f t="shared" si="15"/>
        <v>0</v>
      </c>
      <c r="L94" s="760"/>
      <c r="M94" s="752"/>
      <c r="N94" s="752"/>
      <c r="O94" s="752"/>
      <c r="P94" s="760"/>
      <c r="Q94" s="752"/>
      <c r="R94" s="752"/>
      <c r="S94" s="752"/>
    </row>
    <row r="95" spans="1:19" hidden="1">
      <c r="A95" s="774">
        <f t="shared" si="16"/>
        <v>9.1999999999999957</v>
      </c>
      <c r="B95" s="752"/>
      <c r="C95" s="760">
        <f t="shared" si="14"/>
        <v>0</v>
      </c>
      <c r="D95" s="760">
        <f t="shared" si="12"/>
        <v>0</v>
      </c>
      <c r="E95" s="760"/>
      <c r="F95" s="760"/>
      <c r="G95" s="760">
        <f t="shared" si="13"/>
        <v>0</v>
      </c>
      <c r="H95" s="760"/>
      <c r="I95" s="760">
        <f t="shared" si="15"/>
        <v>0</v>
      </c>
      <c r="J95" s="760">
        <f t="shared" si="15"/>
        <v>0</v>
      </c>
      <c r="K95" s="760">
        <f t="shared" si="15"/>
        <v>0</v>
      </c>
      <c r="L95" s="760"/>
      <c r="M95" s="752"/>
      <c r="N95" s="752"/>
      <c r="O95" s="752"/>
      <c r="P95" s="760"/>
      <c r="Q95" s="752"/>
      <c r="R95" s="752"/>
      <c r="S95" s="752"/>
    </row>
    <row r="96" spans="1:19" hidden="1">
      <c r="A96" s="774">
        <f t="shared" si="16"/>
        <v>9.2099999999999955</v>
      </c>
      <c r="B96" s="752"/>
      <c r="C96" s="760">
        <f t="shared" si="14"/>
        <v>0</v>
      </c>
      <c r="D96" s="760">
        <f t="shared" si="12"/>
        <v>0</v>
      </c>
      <c r="E96" s="760"/>
      <c r="F96" s="760"/>
      <c r="G96" s="760">
        <f t="shared" si="13"/>
        <v>0</v>
      </c>
      <c r="H96" s="760"/>
      <c r="I96" s="760">
        <f t="shared" si="15"/>
        <v>0</v>
      </c>
      <c r="J96" s="760">
        <f t="shared" si="15"/>
        <v>0</v>
      </c>
      <c r="K96" s="760">
        <f t="shared" si="15"/>
        <v>0</v>
      </c>
      <c r="L96" s="760"/>
      <c r="M96" s="752"/>
      <c r="N96" s="752"/>
      <c r="O96" s="752"/>
      <c r="P96" s="760"/>
      <c r="Q96" s="752"/>
      <c r="R96" s="752"/>
      <c r="S96" s="752"/>
    </row>
    <row r="97" spans="1:19" hidden="1">
      <c r="A97" s="774">
        <f t="shared" si="16"/>
        <v>9.2199999999999953</v>
      </c>
      <c r="B97" s="752"/>
      <c r="C97" s="760">
        <f t="shared" si="14"/>
        <v>0</v>
      </c>
      <c r="D97" s="760">
        <f t="shared" si="12"/>
        <v>0</v>
      </c>
      <c r="E97" s="760"/>
      <c r="F97" s="760"/>
      <c r="G97" s="760">
        <f t="shared" si="13"/>
        <v>0</v>
      </c>
      <c r="H97" s="760"/>
      <c r="I97" s="760">
        <f t="shared" si="15"/>
        <v>0</v>
      </c>
      <c r="J97" s="760">
        <f t="shared" si="15"/>
        <v>0</v>
      </c>
      <c r="K97" s="760">
        <f t="shared" si="15"/>
        <v>0</v>
      </c>
      <c r="L97" s="760"/>
      <c r="M97" s="752"/>
      <c r="N97" s="752"/>
      <c r="O97" s="752"/>
      <c r="P97" s="760"/>
      <c r="Q97" s="752"/>
      <c r="R97" s="752"/>
      <c r="S97" s="752"/>
    </row>
    <row r="98" spans="1:19" hidden="1">
      <c r="A98" s="774">
        <f t="shared" si="16"/>
        <v>9.2299999999999951</v>
      </c>
      <c r="B98" s="752"/>
      <c r="C98" s="760">
        <f t="shared" si="14"/>
        <v>0</v>
      </c>
      <c r="D98" s="760">
        <f t="shared" si="12"/>
        <v>0</v>
      </c>
      <c r="E98" s="760"/>
      <c r="F98" s="760"/>
      <c r="G98" s="760">
        <f t="shared" si="13"/>
        <v>0</v>
      </c>
      <c r="H98" s="760"/>
      <c r="I98" s="760">
        <f t="shared" si="15"/>
        <v>0</v>
      </c>
      <c r="J98" s="760">
        <f t="shared" si="15"/>
        <v>0</v>
      </c>
      <c r="K98" s="760">
        <f t="shared" si="15"/>
        <v>0</v>
      </c>
      <c r="L98" s="760"/>
      <c r="M98" s="752"/>
      <c r="N98" s="752"/>
      <c r="O98" s="752"/>
      <c r="P98" s="760"/>
      <c r="Q98" s="752"/>
      <c r="R98" s="752"/>
      <c r="S98" s="752"/>
    </row>
    <row r="99" spans="1:19" hidden="1">
      <c r="A99" s="774">
        <f t="shared" si="16"/>
        <v>9.2399999999999949</v>
      </c>
      <c r="B99" s="752"/>
      <c r="C99" s="760">
        <f t="shared" si="14"/>
        <v>0</v>
      </c>
      <c r="D99" s="760">
        <f t="shared" si="12"/>
        <v>0</v>
      </c>
      <c r="E99" s="760"/>
      <c r="F99" s="760"/>
      <c r="G99" s="760">
        <f t="shared" si="13"/>
        <v>0</v>
      </c>
      <c r="H99" s="760"/>
      <c r="I99" s="760">
        <f t="shared" si="15"/>
        <v>0</v>
      </c>
      <c r="J99" s="760">
        <f t="shared" si="15"/>
        <v>0</v>
      </c>
      <c r="K99" s="760">
        <f t="shared" si="15"/>
        <v>0</v>
      </c>
      <c r="L99" s="760"/>
      <c r="M99" s="752"/>
      <c r="N99" s="752"/>
      <c r="O99" s="752"/>
      <c r="P99" s="760"/>
      <c r="Q99" s="752"/>
      <c r="R99" s="752"/>
      <c r="S99" s="752"/>
    </row>
    <row r="100" spans="1:19" hidden="1">
      <c r="A100" s="774">
        <f t="shared" si="16"/>
        <v>9.2499999999999947</v>
      </c>
      <c r="B100" s="752"/>
      <c r="C100" s="760">
        <f t="shared" si="14"/>
        <v>0</v>
      </c>
      <c r="D100" s="760">
        <f t="shared" si="12"/>
        <v>0</v>
      </c>
      <c r="E100" s="760"/>
      <c r="F100" s="760"/>
      <c r="G100" s="760">
        <f>ROUND(SUM(C100:F100)/2,0)</f>
        <v>0</v>
      </c>
      <c r="H100" s="760"/>
      <c r="I100" s="760">
        <f t="shared" si="15"/>
        <v>0</v>
      </c>
      <c r="J100" s="760">
        <f t="shared" si="15"/>
        <v>0</v>
      </c>
      <c r="K100" s="760">
        <f t="shared" si="15"/>
        <v>0</v>
      </c>
      <c r="L100" s="760"/>
      <c r="M100" s="752"/>
      <c r="N100" s="752"/>
      <c r="O100" s="752"/>
      <c r="P100" s="760"/>
      <c r="Q100" s="752"/>
      <c r="R100" s="752"/>
      <c r="S100" s="752"/>
    </row>
    <row r="101" spans="1:19" hidden="1">
      <c r="A101" s="774">
        <f t="shared" si="16"/>
        <v>9.2599999999999945</v>
      </c>
      <c r="B101" s="752"/>
      <c r="C101" s="760">
        <f t="shared" si="14"/>
        <v>0</v>
      </c>
      <c r="D101" s="760">
        <f t="shared" si="12"/>
        <v>0</v>
      </c>
      <c r="E101" s="760"/>
      <c r="F101" s="760"/>
      <c r="G101" s="760">
        <f t="shared" si="13"/>
        <v>0</v>
      </c>
      <c r="H101" s="760"/>
      <c r="I101" s="760">
        <f t="shared" si="15"/>
        <v>0</v>
      </c>
      <c r="J101" s="760">
        <f t="shared" si="15"/>
        <v>0</v>
      </c>
      <c r="K101" s="760">
        <f t="shared" si="15"/>
        <v>0</v>
      </c>
      <c r="L101" s="760"/>
      <c r="M101" s="752"/>
      <c r="N101" s="752"/>
      <c r="O101" s="752"/>
      <c r="P101" s="760"/>
      <c r="Q101" s="752"/>
      <c r="R101" s="752"/>
      <c r="S101" s="752"/>
    </row>
    <row r="102" spans="1:19" hidden="1">
      <c r="A102" s="774">
        <f t="shared" si="16"/>
        <v>9.2699999999999942</v>
      </c>
      <c r="B102" s="752"/>
      <c r="C102" s="760">
        <f t="shared" si="14"/>
        <v>0</v>
      </c>
      <c r="D102" s="760">
        <f t="shared" si="12"/>
        <v>0</v>
      </c>
      <c r="E102" s="760"/>
      <c r="F102" s="760"/>
      <c r="G102" s="760">
        <f t="shared" si="13"/>
        <v>0</v>
      </c>
      <c r="H102" s="760"/>
      <c r="I102" s="760">
        <f t="shared" si="15"/>
        <v>0</v>
      </c>
      <c r="J102" s="760">
        <f t="shared" si="15"/>
        <v>0</v>
      </c>
      <c r="K102" s="760">
        <f t="shared" si="15"/>
        <v>0</v>
      </c>
      <c r="L102" s="760"/>
      <c r="M102" s="752"/>
      <c r="N102" s="752"/>
      <c r="O102" s="752"/>
      <c r="P102" s="760"/>
      <c r="Q102" s="752"/>
      <c r="R102" s="752"/>
      <c r="S102" s="752"/>
    </row>
    <row r="103" spans="1:19" hidden="1">
      <c r="A103" s="774">
        <f t="shared" si="16"/>
        <v>9.279999999999994</v>
      </c>
      <c r="B103" s="752"/>
      <c r="C103" s="760">
        <f t="shared" si="14"/>
        <v>0</v>
      </c>
      <c r="D103" s="760">
        <f t="shared" si="12"/>
        <v>0</v>
      </c>
      <c r="E103" s="760"/>
      <c r="F103" s="760"/>
      <c r="G103" s="760">
        <f>ROUND(SUM(C103:F103)/2,0)</f>
        <v>0</v>
      </c>
      <c r="H103" s="760"/>
      <c r="I103" s="760">
        <f t="shared" si="15"/>
        <v>0</v>
      </c>
      <c r="J103" s="760">
        <f t="shared" si="15"/>
        <v>0</v>
      </c>
      <c r="K103" s="760">
        <f t="shared" si="15"/>
        <v>0</v>
      </c>
      <c r="L103" s="760"/>
      <c r="M103" s="752"/>
      <c r="N103" s="752"/>
      <c r="O103" s="752"/>
      <c r="P103" s="760"/>
      <c r="Q103" s="752"/>
      <c r="R103" s="752"/>
      <c r="S103" s="752"/>
    </row>
    <row r="104" spans="1:19" hidden="1">
      <c r="A104" s="774">
        <f t="shared" si="16"/>
        <v>9.2899999999999938</v>
      </c>
      <c r="B104" s="752"/>
      <c r="C104" s="760">
        <f t="shared" si="14"/>
        <v>0</v>
      </c>
      <c r="D104" s="760">
        <f t="shared" si="12"/>
        <v>0</v>
      </c>
      <c r="E104" s="760"/>
      <c r="F104" s="760"/>
      <c r="G104" s="760">
        <f t="shared" si="13"/>
        <v>0</v>
      </c>
      <c r="H104" s="760"/>
      <c r="I104" s="760">
        <f t="shared" si="15"/>
        <v>0</v>
      </c>
      <c r="J104" s="760">
        <f t="shared" si="15"/>
        <v>0</v>
      </c>
      <c r="K104" s="760">
        <f t="shared" si="15"/>
        <v>0</v>
      </c>
      <c r="L104" s="760"/>
      <c r="M104" s="752"/>
      <c r="N104" s="752"/>
      <c r="O104" s="752"/>
      <c r="P104" s="760"/>
      <c r="Q104" s="752"/>
      <c r="R104" s="752"/>
      <c r="S104" s="752"/>
    </row>
    <row r="105" spans="1:19" hidden="1">
      <c r="A105" s="774">
        <f t="shared" si="16"/>
        <v>9.2999999999999936</v>
      </c>
      <c r="B105" s="752"/>
      <c r="C105" s="760">
        <f t="shared" si="14"/>
        <v>0</v>
      </c>
      <c r="D105" s="760">
        <f t="shared" si="12"/>
        <v>0</v>
      </c>
      <c r="E105" s="760"/>
      <c r="F105" s="760"/>
      <c r="G105" s="760">
        <f t="shared" si="13"/>
        <v>0</v>
      </c>
      <c r="H105" s="760"/>
      <c r="I105" s="760">
        <f t="shared" si="15"/>
        <v>0</v>
      </c>
      <c r="J105" s="760">
        <f t="shared" si="15"/>
        <v>0</v>
      </c>
      <c r="K105" s="760">
        <f t="shared" si="15"/>
        <v>0</v>
      </c>
      <c r="L105" s="760"/>
      <c r="M105" s="752"/>
      <c r="N105" s="752"/>
      <c r="O105" s="752"/>
      <c r="P105" s="760"/>
      <c r="Q105" s="752"/>
      <c r="R105" s="752"/>
      <c r="S105" s="752"/>
    </row>
    <row r="106" spans="1:19" hidden="1">
      <c r="A106" s="774">
        <f t="shared" si="16"/>
        <v>9.3099999999999934</v>
      </c>
      <c r="B106" s="752"/>
      <c r="C106" s="764">
        <f t="shared" si="14"/>
        <v>0</v>
      </c>
      <c r="D106" s="764">
        <f t="shared" si="12"/>
        <v>0</v>
      </c>
      <c r="E106" s="764"/>
      <c r="F106" s="764"/>
      <c r="G106" s="764">
        <f t="shared" si="13"/>
        <v>0</v>
      </c>
      <c r="H106" s="764"/>
      <c r="I106" s="764">
        <f t="shared" si="15"/>
        <v>0</v>
      </c>
      <c r="J106" s="764">
        <f t="shared" si="15"/>
        <v>0</v>
      </c>
      <c r="K106" s="764">
        <f t="shared" si="15"/>
        <v>0</v>
      </c>
      <c r="L106" s="764"/>
      <c r="M106" s="752"/>
      <c r="N106" s="752"/>
      <c r="O106" s="752"/>
      <c r="P106" s="764"/>
      <c r="Q106" s="752"/>
      <c r="R106" s="752"/>
      <c r="S106" s="752"/>
    </row>
    <row r="107" spans="1:19" hidden="1">
      <c r="A107" s="774">
        <f t="shared" si="16"/>
        <v>9.3199999999999932</v>
      </c>
      <c r="B107" s="752"/>
      <c r="C107" s="760">
        <f t="shared" si="14"/>
        <v>0</v>
      </c>
      <c r="D107" s="760">
        <f t="shared" si="12"/>
        <v>0</v>
      </c>
      <c r="E107" s="760"/>
      <c r="F107" s="760"/>
      <c r="G107" s="760">
        <f t="shared" si="13"/>
        <v>0</v>
      </c>
      <c r="H107" s="760"/>
      <c r="I107" s="760">
        <f t="shared" si="15"/>
        <v>0</v>
      </c>
      <c r="J107" s="760">
        <f t="shared" si="15"/>
        <v>0</v>
      </c>
      <c r="K107" s="760">
        <f t="shared" si="15"/>
        <v>0</v>
      </c>
      <c r="L107" s="760"/>
      <c r="M107" s="752"/>
      <c r="N107" s="752"/>
      <c r="O107" s="752"/>
      <c r="P107" s="760"/>
      <c r="Q107" s="752"/>
      <c r="R107" s="752"/>
      <c r="S107" s="752"/>
    </row>
    <row r="108" spans="1:19" hidden="1">
      <c r="A108" s="774">
        <f t="shared" si="16"/>
        <v>9.329999999999993</v>
      </c>
      <c r="B108" s="752"/>
      <c r="C108" s="760">
        <f t="shared" si="14"/>
        <v>0</v>
      </c>
      <c r="D108" s="760">
        <f t="shared" si="12"/>
        <v>0</v>
      </c>
      <c r="E108" s="760"/>
      <c r="F108" s="760"/>
      <c r="G108" s="760">
        <f t="shared" si="13"/>
        <v>0</v>
      </c>
      <c r="H108" s="760"/>
      <c r="I108" s="760">
        <f t="shared" si="15"/>
        <v>0</v>
      </c>
      <c r="J108" s="760">
        <f t="shared" si="15"/>
        <v>0</v>
      </c>
      <c r="K108" s="760">
        <f t="shared" si="15"/>
        <v>0</v>
      </c>
      <c r="L108" s="760"/>
      <c r="M108" s="752"/>
      <c r="N108" s="752"/>
      <c r="O108" s="752"/>
      <c r="P108" s="760"/>
      <c r="Q108" s="752"/>
      <c r="R108" s="752"/>
      <c r="S108" s="752"/>
    </row>
    <row r="109" spans="1:19" hidden="1">
      <c r="A109" s="774">
        <f t="shared" si="16"/>
        <v>9.3399999999999928</v>
      </c>
      <c r="B109" s="752"/>
      <c r="C109" s="760">
        <f t="shared" si="14"/>
        <v>0</v>
      </c>
      <c r="D109" s="760">
        <f t="shared" si="12"/>
        <v>0</v>
      </c>
      <c r="E109" s="760"/>
      <c r="F109" s="760"/>
      <c r="G109" s="760">
        <f t="shared" si="13"/>
        <v>0</v>
      </c>
      <c r="H109" s="760"/>
      <c r="I109" s="760">
        <f t="shared" si="15"/>
        <v>0</v>
      </c>
      <c r="J109" s="760">
        <f t="shared" si="15"/>
        <v>0</v>
      </c>
      <c r="K109" s="760">
        <f t="shared" si="15"/>
        <v>0</v>
      </c>
      <c r="L109" s="760"/>
      <c r="M109" s="752"/>
      <c r="N109" s="752"/>
      <c r="O109" s="752"/>
      <c r="P109" s="760"/>
      <c r="Q109" s="752"/>
      <c r="R109" s="752"/>
      <c r="S109" s="752"/>
    </row>
    <row r="110" spans="1:19" hidden="1">
      <c r="A110" s="774">
        <f t="shared" si="16"/>
        <v>9.3499999999999925</v>
      </c>
      <c r="B110" s="752"/>
      <c r="C110" s="760">
        <f t="shared" si="14"/>
        <v>0</v>
      </c>
      <c r="D110" s="760">
        <f t="shared" si="12"/>
        <v>0</v>
      </c>
      <c r="E110" s="760"/>
      <c r="F110" s="760"/>
      <c r="G110" s="760">
        <f t="shared" si="13"/>
        <v>0</v>
      </c>
      <c r="H110" s="760"/>
      <c r="I110" s="760">
        <f t="shared" si="15"/>
        <v>0</v>
      </c>
      <c r="J110" s="760">
        <f t="shared" si="15"/>
        <v>0</v>
      </c>
      <c r="K110" s="760">
        <f t="shared" si="15"/>
        <v>0</v>
      </c>
      <c r="L110" s="760"/>
      <c r="M110" s="752"/>
      <c r="N110" s="752"/>
      <c r="O110" s="752"/>
      <c r="P110" s="760"/>
      <c r="Q110" s="752"/>
      <c r="R110" s="752"/>
      <c r="S110" s="752"/>
    </row>
    <row r="111" spans="1:19" hidden="1">
      <c r="A111" s="774">
        <f t="shared" si="16"/>
        <v>9.3599999999999923</v>
      </c>
      <c r="B111" s="752"/>
      <c r="C111" s="760">
        <f t="shared" si="14"/>
        <v>0</v>
      </c>
      <c r="D111" s="760">
        <f t="shared" si="12"/>
        <v>0</v>
      </c>
      <c r="E111" s="760"/>
      <c r="F111" s="760"/>
      <c r="G111" s="760">
        <f t="shared" si="13"/>
        <v>0</v>
      </c>
      <c r="H111" s="760"/>
      <c r="I111" s="760">
        <f t="shared" si="15"/>
        <v>0</v>
      </c>
      <c r="J111" s="760">
        <f t="shared" si="15"/>
        <v>0</v>
      </c>
      <c r="K111" s="760">
        <f t="shared" si="15"/>
        <v>0</v>
      </c>
      <c r="L111" s="760"/>
      <c r="M111" s="752"/>
      <c r="N111" s="752"/>
      <c r="O111" s="752"/>
      <c r="P111" s="760"/>
      <c r="Q111" s="752"/>
      <c r="R111" s="752"/>
      <c r="S111" s="752"/>
    </row>
    <row r="112" spans="1:19" hidden="1">
      <c r="A112" s="774">
        <f t="shared" si="16"/>
        <v>9.3699999999999921</v>
      </c>
      <c r="B112" s="752"/>
      <c r="C112" s="760">
        <f t="shared" si="14"/>
        <v>0</v>
      </c>
      <c r="D112" s="760">
        <f t="shared" si="12"/>
        <v>0</v>
      </c>
      <c r="E112" s="760"/>
      <c r="F112" s="760"/>
      <c r="G112" s="760">
        <f t="shared" si="13"/>
        <v>0</v>
      </c>
      <c r="H112" s="760"/>
      <c r="I112" s="760">
        <f t="shared" si="15"/>
        <v>0</v>
      </c>
      <c r="J112" s="760">
        <f t="shared" si="15"/>
        <v>0</v>
      </c>
      <c r="K112" s="760">
        <f t="shared" si="15"/>
        <v>0</v>
      </c>
      <c r="L112" s="760"/>
      <c r="M112" s="752"/>
      <c r="N112" s="752"/>
      <c r="O112" s="752"/>
      <c r="P112" s="760"/>
      <c r="Q112" s="752"/>
      <c r="R112" s="752"/>
      <c r="S112" s="752"/>
    </row>
    <row r="113" spans="1:19" hidden="1">
      <c r="A113" s="774">
        <f t="shared" si="16"/>
        <v>9.3799999999999919</v>
      </c>
      <c r="B113" s="752"/>
      <c r="C113" s="760">
        <f t="shared" si="14"/>
        <v>0</v>
      </c>
      <c r="D113" s="760">
        <f t="shared" si="12"/>
        <v>0</v>
      </c>
      <c r="E113" s="760"/>
      <c r="F113" s="760"/>
      <c r="G113" s="760">
        <f t="shared" si="13"/>
        <v>0</v>
      </c>
      <c r="H113" s="760"/>
      <c r="I113" s="760">
        <f t="shared" si="15"/>
        <v>0</v>
      </c>
      <c r="J113" s="760">
        <f t="shared" si="15"/>
        <v>0</v>
      </c>
      <c r="K113" s="760">
        <f t="shared" si="15"/>
        <v>0</v>
      </c>
      <c r="L113" s="760"/>
      <c r="M113" s="752"/>
      <c r="N113" s="752"/>
      <c r="O113" s="752"/>
      <c r="P113" s="760"/>
      <c r="Q113" s="752"/>
      <c r="R113" s="752"/>
      <c r="S113" s="752"/>
    </row>
    <row r="114" spans="1:19" hidden="1">
      <c r="A114" s="774">
        <f t="shared" si="16"/>
        <v>9.3899999999999917</v>
      </c>
      <c r="B114" s="752"/>
      <c r="C114" s="760">
        <f t="shared" si="14"/>
        <v>0</v>
      </c>
      <c r="D114" s="760">
        <f t="shared" si="12"/>
        <v>0</v>
      </c>
      <c r="E114" s="760"/>
      <c r="F114" s="760"/>
      <c r="G114" s="760">
        <f t="shared" si="13"/>
        <v>0</v>
      </c>
      <c r="H114" s="760"/>
      <c r="I114" s="760">
        <f t="shared" si="15"/>
        <v>0</v>
      </c>
      <c r="J114" s="760">
        <f t="shared" si="15"/>
        <v>0</v>
      </c>
      <c r="K114" s="760">
        <f t="shared" si="15"/>
        <v>0</v>
      </c>
      <c r="L114" s="760"/>
      <c r="M114" s="752"/>
      <c r="N114" s="752"/>
      <c r="O114" s="752"/>
      <c r="P114" s="760"/>
      <c r="Q114" s="752"/>
      <c r="R114" s="752"/>
      <c r="S114" s="752"/>
    </row>
    <row r="115" spans="1:19" hidden="1">
      <c r="A115" s="774">
        <f t="shared" si="16"/>
        <v>9.3999999999999915</v>
      </c>
      <c r="B115" s="752"/>
      <c r="C115" s="760">
        <f t="shared" si="14"/>
        <v>0</v>
      </c>
      <c r="D115" s="760">
        <f t="shared" si="12"/>
        <v>0</v>
      </c>
      <c r="E115" s="760"/>
      <c r="F115" s="760"/>
      <c r="G115" s="760">
        <f t="shared" si="13"/>
        <v>0</v>
      </c>
      <c r="H115" s="760"/>
      <c r="I115" s="760">
        <f t="shared" si="15"/>
        <v>0</v>
      </c>
      <c r="J115" s="760">
        <f t="shared" si="15"/>
        <v>0</v>
      </c>
      <c r="K115" s="760">
        <f t="shared" si="15"/>
        <v>0</v>
      </c>
      <c r="L115" s="760"/>
      <c r="M115" s="752"/>
      <c r="N115" s="752"/>
      <c r="O115" s="752"/>
      <c r="P115" s="760"/>
      <c r="Q115" s="752"/>
      <c r="R115" s="752"/>
      <c r="S115" s="752"/>
    </row>
    <row r="116" spans="1:19" hidden="1">
      <c r="A116" s="774">
        <f t="shared" si="16"/>
        <v>9.4099999999999913</v>
      </c>
      <c r="B116" s="752"/>
      <c r="C116" s="760">
        <f t="shared" si="14"/>
        <v>0</v>
      </c>
      <c r="D116" s="760">
        <f t="shared" si="12"/>
        <v>0</v>
      </c>
      <c r="E116" s="760"/>
      <c r="F116" s="760"/>
      <c r="G116" s="760">
        <f t="shared" si="13"/>
        <v>0</v>
      </c>
      <c r="H116" s="760"/>
      <c r="I116" s="760">
        <f t="shared" si="15"/>
        <v>0</v>
      </c>
      <c r="J116" s="760">
        <f t="shared" si="15"/>
        <v>0</v>
      </c>
      <c r="K116" s="760">
        <f t="shared" si="15"/>
        <v>0</v>
      </c>
      <c r="L116" s="760"/>
      <c r="M116" s="752"/>
      <c r="N116" s="752"/>
      <c r="O116" s="752"/>
      <c r="P116" s="760"/>
      <c r="Q116" s="752"/>
      <c r="R116" s="752"/>
      <c r="S116" s="752"/>
    </row>
    <row r="117" spans="1:19" hidden="1">
      <c r="A117" s="774">
        <f t="shared" si="16"/>
        <v>9.419999999999991</v>
      </c>
      <c r="B117" s="752"/>
      <c r="C117" s="760">
        <f t="shared" si="14"/>
        <v>0</v>
      </c>
      <c r="D117" s="760">
        <f t="shared" si="12"/>
        <v>0</v>
      </c>
      <c r="E117" s="760"/>
      <c r="F117" s="760"/>
      <c r="G117" s="760">
        <f t="shared" si="13"/>
        <v>0</v>
      </c>
      <c r="H117" s="760"/>
      <c r="I117" s="760">
        <f t="shared" si="15"/>
        <v>0</v>
      </c>
      <c r="J117" s="760">
        <f t="shared" si="15"/>
        <v>0</v>
      </c>
      <c r="K117" s="760">
        <f t="shared" si="15"/>
        <v>0</v>
      </c>
      <c r="L117" s="760"/>
      <c r="M117" s="752"/>
      <c r="N117" s="752"/>
      <c r="O117" s="752"/>
      <c r="P117" s="760"/>
      <c r="Q117" s="752"/>
      <c r="R117" s="752"/>
      <c r="S117" s="752"/>
    </row>
    <row r="118" spans="1:19" hidden="1">
      <c r="A118" s="774">
        <f t="shared" si="16"/>
        <v>9.4299999999999908</v>
      </c>
      <c r="B118" s="752"/>
      <c r="C118" s="760">
        <f t="shared" si="14"/>
        <v>0</v>
      </c>
      <c r="D118" s="760">
        <f t="shared" si="12"/>
        <v>0</v>
      </c>
      <c r="E118" s="760"/>
      <c r="F118" s="760"/>
      <c r="G118" s="760">
        <f t="shared" si="13"/>
        <v>0</v>
      </c>
      <c r="H118" s="760"/>
      <c r="I118" s="760">
        <f t="shared" si="15"/>
        <v>0</v>
      </c>
      <c r="J118" s="760">
        <f t="shared" si="15"/>
        <v>0</v>
      </c>
      <c r="K118" s="760">
        <f t="shared" si="15"/>
        <v>0</v>
      </c>
      <c r="L118" s="760"/>
      <c r="M118" s="752"/>
      <c r="N118" s="752"/>
      <c r="O118" s="752"/>
      <c r="P118" s="760"/>
      <c r="Q118" s="752"/>
      <c r="R118" s="752"/>
      <c r="S118" s="752"/>
    </row>
    <row r="119" spans="1:19" hidden="1">
      <c r="A119" s="774">
        <f t="shared" si="16"/>
        <v>9.4399999999999906</v>
      </c>
      <c r="B119" s="752"/>
      <c r="C119" s="760">
        <f t="shared" si="14"/>
        <v>0</v>
      </c>
      <c r="D119" s="760">
        <f t="shared" si="12"/>
        <v>0</v>
      </c>
      <c r="E119" s="760"/>
      <c r="F119" s="760"/>
      <c r="G119" s="760">
        <f t="shared" si="13"/>
        <v>0</v>
      </c>
      <c r="H119" s="760"/>
      <c r="I119" s="760">
        <f t="shared" si="15"/>
        <v>0</v>
      </c>
      <c r="J119" s="760">
        <f t="shared" si="15"/>
        <v>0</v>
      </c>
      <c r="K119" s="760">
        <f t="shared" si="15"/>
        <v>0</v>
      </c>
      <c r="L119" s="760"/>
      <c r="M119" s="752"/>
      <c r="N119" s="752"/>
      <c r="O119" s="752"/>
      <c r="P119" s="760"/>
      <c r="Q119" s="752"/>
      <c r="R119" s="752"/>
      <c r="S119" s="752"/>
    </row>
    <row r="120" spans="1:19" hidden="1">
      <c r="A120" s="774">
        <f t="shared" si="16"/>
        <v>9.4499999999999904</v>
      </c>
      <c r="B120" s="752"/>
      <c r="C120" s="760">
        <f t="shared" si="14"/>
        <v>0</v>
      </c>
      <c r="D120" s="760">
        <f t="shared" si="12"/>
        <v>0</v>
      </c>
      <c r="E120" s="760"/>
      <c r="F120" s="760"/>
      <c r="G120" s="760">
        <f t="shared" si="13"/>
        <v>0</v>
      </c>
      <c r="H120" s="760"/>
      <c r="I120" s="760">
        <f t="shared" si="15"/>
        <v>0</v>
      </c>
      <c r="J120" s="760">
        <f t="shared" si="15"/>
        <v>0</v>
      </c>
      <c r="K120" s="760">
        <f t="shared" si="15"/>
        <v>0</v>
      </c>
      <c r="L120" s="760"/>
      <c r="M120" s="752"/>
      <c r="N120" s="752"/>
      <c r="O120" s="752"/>
      <c r="P120" s="760"/>
      <c r="Q120" s="752"/>
      <c r="R120" s="752"/>
      <c r="S120" s="752"/>
    </row>
    <row r="121" spans="1:19" hidden="1">
      <c r="A121" s="774">
        <f t="shared" si="16"/>
        <v>9.4599999999999902</v>
      </c>
      <c r="B121" s="752"/>
      <c r="C121" s="760">
        <f t="shared" si="14"/>
        <v>0</v>
      </c>
      <c r="D121" s="760">
        <f t="shared" si="12"/>
        <v>0</v>
      </c>
      <c r="E121" s="760"/>
      <c r="F121" s="760"/>
      <c r="G121" s="760">
        <f t="shared" si="13"/>
        <v>0</v>
      </c>
      <c r="H121" s="760"/>
      <c r="I121" s="760">
        <f t="shared" si="15"/>
        <v>0</v>
      </c>
      <c r="J121" s="760">
        <f t="shared" si="15"/>
        <v>0</v>
      </c>
      <c r="K121" s="760">
        <f t="shared" si="15"/>
        <v>0</v>
      </c>
      <c r="L121" s="760"/>
      <c r="M121" s="752"/>
      <c r="N121" s="752"/>
      <c r="O121" s="752"/>
      <c r="P121" s="760"/>
      <c r="Q121" s="752"/>
      <c r="R121" s="752"/>
      <c r="S121" s="752"/>
    </row>
    <row r="122" spans="1:19" hidden="1">
      <c r="A122" s="774">
        <f t="shared" si="16"/>
        <v>9.46999999999999</v>
      </c>
      <c r="B122" s="752"/>
      <c r="C122" s="760">
        <f t="shared" si="14"/>
        <v>0</v>
      </c>
      <c r="D122" s="760">
        <f t="shared" si="12"/>
        <v>0</v>
      </c>
      <c r="E122" s="760"/>
      <c r="F122" s="760"/>
      <c r="G122" s="760">
        <f t="shared" si="13"/>
        <v>0</v>
      </c>
      <c r="H122" s="760"/>
      <c r="I122" s="760">
        <f t="shared" si="15"/>
        <v>0</v>
      </c>
      <c r="J122" s="760">
        <f t="shared" si="15"/>
        <v>0</v>
      </c>
      <c r="K122" s="760">
        <f t="shared" si="15"/>
        <v>0</v>
      </c>
      <c r="L122" s="760"/>
      <c r="M122" s="752"/>
      <c r="N122" s="752"/>
      <c r="O122" s="752"/>
      <c r="P122" s="760"/>
      <c r="Q122" s="752"/>
      <c r="R122" s="752"/>
      <c r="S122" s="752"/>
    </row>
    <row r="123" spans="1:19" hidden="1">
      <c r="A123" s="774">
        <f t="shared" si="16"/>
        <v>9.4799999999999898</v>
      </c>
      <c r="B123" s="752"/>
      <c r="C123" s="760">
        <f t="shared" si="14"/>
        <v>0</v>
      </c>
      <c r="D123" s="760">
        <f t="shared" si="12"/>
        <v>0</v>
      </c>
      <c r="E123" s="760"/>
      <c r="F123" s="760"/>
      <c r="G123" s="760">
        <f t="shared" si="13"/>
        <v>0</v>
      </c>
      <c r="H123" s="760"/>
      <c r="I123" s="760">
        <f t="shared" si="15"/>
        <v>0</v>
      </c>
      <c r="J123" s="760">
        <f t="shared" si="15"/>
        <v>0</v>
      </c>
      <c r="K123" s="760">
        <f t="shared" si="15"/>
        <v>0</v>
      </c>
      <c r="L123" s="760"/>
      <c r="M123" s="752"/>
      <c r="N123" s="752"/>
      <c r="O123" s="752"/>
      <c r="P123" s="760"/>
      <c r="Q123" s="752"/>
      <c r="R123" s="752"/>
      <c r="S123" s="752"/>
    </row>
    <row r="124" spans="1:19" hidden="1">
      <c r="A124" s="774">
        <f t="shared" si="16"/>
        <v>9.4899999999999896</v>
      </c>
      <c r="B124" s="752"/>
      <c r="C124" s="760">
        <f t="shared" si="14"/>
        <v>0</v>
      </c>
      <c r="D124" s="760">
        <f t="shared" si="12"/>
        <v>0</v>
      </c>
      <c r="E124" s="760"/>
      <c r="F124" s="760"/>
      <c r="G124" s="760">
        <f t="shared" si="13"/>
        <v>0</v>
      </c>
      <c r="H124" s="760"/>
      <c r="I124" s="760">
        <f t="shared" si="15"/>
        <v>0</v>
      </c>
      <c r="J124" s="760">
        <f t="shared" si="15"/>
        <v>0</v>
      </c>
      <c r="K124" s="760">
        <f t="shared" si="15"/>
        <v>0</v>
      </c>
      <c r="L124" s="760"/>
      <c r="M124" s="752"/>
      <c r="N124" s="752"/>
      <c r="O124" s="752"/>
      <c r="P124" s="760"/>
      <c r="Q124" s="752"/>
      <c r="R124" s="752"/>
      <c r="S124" s="752"/>
    </row>
    <row r="125" spans="1:19" hidden="1">
      <c r="A125" s="774">
        <f t="shared" si="16"/>
        <v>9.4999999999999893</v>
      </c>
      <c r="B125" s="752"/>
      <c r="C125" s="760">
        <f t="shared" si="14"/>
        <v>0</v>
      </c>
      <c r="D125" s="760">
        <f t="shared" si="12"/>
        <v>0</v>
      </c>
      <c r="E125" s="760"/>
      <c r="F125" s="760"/>
      <c r="G125" s="760">
        <f t="shared" si="13"/>
        <v>0</v>
      </c>
      <c r="H125" s="760"/>
      <c r="I125" s="760">
        <f t="shared" si="15"/>
        <v>0</v>
      </c>
      <c r="J125" s="760">
        <f t="shared" si="15"/>
        <v>0</v>
      </c>
      <c r="K125" s="760">
        <f t="shared" si="15"/>
        <v>0</v>
      </c>
      <c r="L125" s="760"/>
      <c r="M125" s="752"/>
      <c r="N125" s="752"/>
      <c r="O125" s="752"/>
      <c r="P125" s="760"/>
      <c r="Q125" s="752"/>
      <c r="R125" s="752"/>
      <c r="S125" s="752"/>
    </row>
    <row r="126" spans="1:19" hidden="1">
      <c r="A126" s="774">
        <f t="shared" si="16"/>
        <v>9.5099999999999891</v>
      </c>
      <c r="B126" s="752"/>
      <c r="C126" s="760">
        <f t="shared" si="14"/>
        <v>0</v>
      </c>
      <c r="D126" s="760">
        <f t="shared" si="12"/>
        <v>0</v>
      </c>
      <c r="E126" s="760"/>
      <c r="F126" s="760"/>
      <c r="G126" s="760">
        <f t="shared" si="13"/>
        <v>0</v>
      </c>
      <c r="H126" s="760"/>
      <c r="I126" s="760">
        <f t="shared" si="15"/>
        <v>0</v>
      </c>
      <c r="J126" s="760">
        <f t="shared" si="15"/>
        <v>0</v>
      </c>
      <c r="K126" s="760">
        <f t="shared" si="15"/>
        <v>0</v>
      </c>
      <c r="L126" s="760"/>
      <c r="M126" s="752"/>
      <c r="N126" s="752"/>
      <c r="O126" s="752"/>
      <c r="P126" s="760"/>
      <c r="Q126" s="752"/>
      <c r="R126" s="752"/>
      <c r="S126" s="752"/>
    </row>
    <row r="127" spans="1:19" hidden="1">
      <c r="A127" s="774">
        <f t="shared" si="16"/>
        <v>9.5199999999999889</v>
      </c>
      <c r="B127" s="752"/>
      <c r="C127" s="760">
        <f t="shared" si="14"/>
        <v>0</v>
      </c>
      <c r="D127" s="760">
        <f t="shared" si="12"/>
        <v>0</v>
      </c>
      <c r="E127" s="760"/>
      <c r="F127" s="760"/>
      <c r="G127" s="760">
        <f t="shared" si="13"/>
        <v>0</v>
      </c>
      <c r="H127" s="760"/>
      <c r="I127" s="760">
        <f t="shared" si="15"/>
        <v>0</v>
      </c>
      <c r="J127" s="760">
        <f t="shared" si="15"/>
        <v>0</v>
      </c>
      <c r="K127" s="760">
        <f t="shared" si="15"/>
        <v>0</v>
      </c>
      <c r="L127" s="760"/>
      <c r="M127" s="752"/>
      <c r="N127" s="752"/>
      <c r="O127" s="752"/>
      <c r="P127" s="760"/>
      <c r="Q127" s="752"/>
      <c r="R127" s="752"/>
      <c r="S127" s="752"/>
    </row>
    <row r="128" spans="1:19" hidden="1">
      <c r="A128" s="774">
        <f t="shared" si="16"/>
        <v>9.5299999999999887</v>
      </c>
      <c r="B128" s="752"/>
      <c r="C128" s="760">
        <f t="shared" si="14"/>
        <v>0</v>
      </c>
      <c r="D128" s="760">
        <f t="shared" si="12"/>
        <v>0</v>
      </c>
      <c r="E128" s="760"/>
      <c r="F128" s="760"/>
      <c r="G128" s="760">
        <f t="shared" si="13"/>
        <v>0</v>
      </c>
      <c r="H128" s="760"/>
      <c r="I128" s="760">
        <f t="shared" si="15"/>
        <v>0</v>
      </c>
      <c r="J128" s="760">
        <f t="shared" si="15"/>
        <v>0</v>
      </c>
      <c r="K128" s="760">
        <f t="shared" si="15"/>
        <v>0</v>
      </c>
      <c r="L128" s="760"/>
      <c r="M128" s="752"/>
      <c r="N128" s="752"/>
      <c r="O128" s="752"/>
      <c r="P128" s="760"/>
      <c r="Q128" s="752"/>
      <c r="R128" s="752"/>
      <c r="S128" s="752"/>
    </row>
    <row r="129" spans="1:19" hidden="1">
      <c r="A129" s="774">
        <f t="shared" si="16"/>
        <v>9.5399999999999885</v>
      </c>
      <c r="B129" s="752"/>
      <c r="C129" s="760">
        <f t="shared" si="14"/>
        <v>0</v>
      </c>
      <c r="D129" s="760">
        <f t="shared" si="12"/>
        <v>0</v>
      </c>
      <c r="E129" s="760"/>
      <c r="F129" s="760"/>
      <c r="G129" s="760">
        <f t="shared" si="13"/>
        <v>0</v>
      </c>
      <c r="H129" s="760"/>
      <c r="I129" s="760">
        <f t="shared" si="15"/>
        <v>0</v>
      </c>
      <c r="J129" s="760">
        <f t="shared" si="15"/>
        <v>0</v>
      </c>
      <c r="K129" s="760">
        <f t="shared" si="15"/>
        <v>0</v>
      </c>
      <c r="L129" s="760"/>
      <c r="M129" s="752"/>
      <c r="N129" s="752"/>
      <c r="O129" s="752"/>
      <c r="P129" s="760"/>
      <c r="Q129" s="752"/>
      <c r="R129" s="752"/>
      <c r="S129" s="752"/>
    </row>
    <row r="130" spans="1:19" hidden="1">
      <c r="A130" s="774">
        <f t="shared" si="16"/>
        <v>9.5499999999999883</v>
      </c>
      <c r="B130" s="752"/>
      <c r="C130" s="760">
        <f t="shared" si="14"/>
        <v>0</v>
      </c>
      <c r="D130" s="760">
        <f t="shared" si="12"/>
        <v>0</v>
      </c>
      <c r="E130" s="760"/>
      <c r="F130" s="760"/>
      <c r="G130" s="760">
        <f t="shared" si="13"/>
        <v>0</v>
      </c>
      <c r="H130" s="760"/>
      <c r="I130" s="760">
        <f t="shared" si="15"/>
        <v>0</v>
      </c>
      <c r="J130" s="760">
        <f t="shared" si="15"/>
        <v>0</v>
      </c>
      <c r="K130" s="760">
        <f t="shared" si="15"/>
        <v>0</v>
      </c>
      <c r="L130" s="760"/>
      <c r="M130" s="752"/>
      <c r="N130" s="752"/>
      <c r="O130" s="752"/>
      <c r="P130" s="760"/>
      <c r="Q130" s="752"/>
      <c r="R130" s="752"/>
      <c r="S130" s="752"/>
    </row>
    <row r="131" spans="1:19" hidden="1">
      <c r="A131" s="774">
        <f t="shared" si="16"/>
        <v>9.5599999999999881</v>
      </c>
      <c r="B131" s="752"/>
      <c r="C131" s="760">
        <f t="shared" si="14"/>
        <v>0</v>
      </c>
      <c r="D131" s="760">
        <f t="shared" si="12"/>
        <v>0</v>
      </c>
      <c r="E131" s="760"/>
      <c r="F131" s="760"/>
      <c r="G131" s="760">
        <f>ROUND(SUM(C131:F131)/2,0)</f>
        <v>0</v>
      </c>
      <c r="H131" s="760"/>
      <c r="I131" s="760">
        <f t="shared" si="15"/>
        <v>0</v>
      </c>
      <c r="J131" s="760">
        <f t="shared" si="15"/>
        <v>0</v>
      </c>
      <c r="K131" s="760">
        <f t="shared" si="15"/>
        <v>0</v>
      </c>
      <c r="L131" s="760"/>
      <c r="M131" s="752"/>
      <c r="N131" s="752"/>
      <c r="O131" s="752"/>
      <c r="P131" s="760"/>
      <c r="Q131" s="752"/>
      <c r="R131" s="752"/>
      <c r="S131" s="752"/>
    </row>
    <row r="132" spans="1:19" hidden="1">
      <c r="A132" s="774">
        <f t="shared" si="16"/>
        <v>9.5699999999999878</v>
      </c>
      <c r="B132" s="752"/>
      <c r="C132" s="760">
        <f t="shared" si="14"/>
        <v>0</v>
      </c>
      <c r="D132" s="760">
        <f t="shared" si="12"/>
        <v>0</v>
      </c>
      <c r="E132" s="760"/>
      <c r="F132" s="760"/>
      <c r="G132" s="760">
        <f>ROUND(SUM(C132:F132)/2,0)</f>
        <v>0</v>
      </c>
      <c r="H132" s="760"/>
      <c r="I132" s="760">
        <f t="shared" si="15"/>
        <v>0</v>
      </c>
      <c r="J132" s="760">
        <f t="shared" si="15"/>
        <v>0</v>
      </c>
      <c r="K132" s="760">
        <f t="shared" si="15"/>
        <v>0</v>
      </c>
      <c r="L132" s="760"/>
      <c r="M132" s="752"/>
      <c r="N132" s="752"/>
      <c r="O132" s="752"/>
      <c r="P132" s="760"/>
      <c r="Q132" s="752"/>
      <c r="R132" s="752"/>
      <c r="S132" s="752"/>
    </row>
    <row r="133" spans="1:19" hidden="1">
      <c r="A133" s="774">
        <f t="shared" si="16"/>
        <v>9.5799999999999876</v>
      </c>
      <c r="B133" s="752"/>
      <c r="C133" s="760">
        <f t="shared" si="14"/>
        <v>0</v>
      </c>
      <c r="D133" s="760">
        <f t="shared" si="12"/>
        <v>0</v>
      </c>
      <c r="E133" s="760"/>
      <c r="F133" s="760"/>
      <c r="G133" s="760">
        <f>ROUND(SUM(C133:F133)/2,0)</f>
        <v>0</v>
      </c>
      <c r="H133" s="760"/>
      <c r="I133" s="760">
        <f t="shared" si="15"/>
        <v>0</v>
      </c>
      <c r="J133" s="760">
        <f t="shared" si="15"/>
        <v>0</v>
      </c>
      <c r="K133" s="760">
        <f t="shared" si="15"/>
        <v>0</v>
      </c>
      <c r="L133" s="760"/>
      <c r="M133" s="752"/>
      <c r="N133" s="752"/>
      <c r="O133" s="752"/>
      <c r="P133" s="760"/>
      <c r="Q133" s="752"/>
      <c r="R133" s="752"/>
      <c r="S133" s="752"/>
    </row>
    <row r="134" spans="1:19" hidden="1">
      <c r="A134" s="774">
        <f t="shared" si="16"/>
        <v>9.5899999999999874</v>
      </c>
      <c r="B134" s="752"/>
      <c r="C134" s="760">
        <f t="shared" si="14"/>
        <v>0</v>
      </c>
      <c r="D134" s="760">
        <f t="shared" si="12"/>
        <v>0</v>
      </c>
      <c r="E134" s="760"/>
      <c r="F134" s="760"/>
      <c r="G134" s="760">
        <f t="shared" ref="G134:G174" si="17">ROUND(SUM(C134:F134)/2,0)</f>
        <v>0</v>
      </c>
      <c r="H134" s="760"/>
      <c r="I134" s="760">
        <f t="shared" si="15"/>
        <v>0</v>
      </c>
      <c r="J134" s="760">
        <f t="shared" si="15"/>
        <v>0</v>
      </c>
      <c r="K134" s="760">
        <f t="shared" si="15"/>
        <v>0</v>
      </c>
      <c r="L134" s="760"/>
      <c r="M134" s="752"/>
      <c r="N134" s="752"/>
      <c r="O134" s="752"/>
      <c r="P134" s="760"/>
      <c r="Q134" s="752"/>
      <c r="R134" s="752"/>
      <c r="S134" s="752"/>
    </row>
    <row r="135" spans="1:19" hidden="1">
      <c r="A135" s="774">
        <f t="shared" si="16"/>
        <v>9.5999999999999872</v>
      </c>
      <c r="B135" s="752"/>
      <c r="C135" s="760">
        <f t="shared" si="14"/>
        <v>0</v>
      </c>
      <c r="D135" s="760">
        <f t="shared" si="12"/>
        <v>0</v>
      </c>
      <c r="E135" s="760"/>
      <c r="F135" s="760"/>
      <c r="G135" s="760">
        <f t="shared" si="17"/>
        <v>0</v>
      </c>
      <c r="H135" s="760"/>
      <c r="I135" s="760">
        <f t="shared" si="15"/>
        <v>0</v>
      </c>
      <c r="J135" s="760">
        <f t="shared" si="15"/>
        <v>0</v>
      </c>
      <c r="K135" s="760">
        <f t="shared" si="15"/>
        <v>0</v>
      </c>
      <c r="L135" s="760"/>
      <c r="M135" s="752"/>
      <c r="N135" s="752"/>
      <c r="O135" s="752"/>
      <c r="P135" s="760"/>
      <c r="Q135" s="752"/>
      <c r="R135" s="752"/>
      <c r="S135" s="752"/>
    </row>
    <row r="136" spans="1:19" hidden="1">
      <c r="A136" s="774">
        <f t="shared" si="16"/>
        <v>9.609999999999987</v>
      </c>
      <c r="B136" s="752"/>
      <c r="C136" s="760">
        <f t="shared" si="14"/>
        <v>0</v>
      </c>
      <c r="D136" s="760">
        <f t="shared" si="12"/>
        <v>0</v>
      </c>
      <c r="E136" s="760"/>
      <c r="F136" s="760"/>
      <c r="G136" s="760">
        <f t="shared" si="17"/>
        <v>0</v>
      </c>
      <c r="H136" s="760"/>
      <c r="I136" s="760">
        <f t="shared" si="15"/>
        <v>0</v>
      </c>
      <c r="J136" s="760">
        <f t="shared" si="15"/>
        <v>0</v>
      </c>
      <c r="K136" s="760">
        <f t="shared" si="15"/>
        <v>0</v>
      </c>
      <c r="L136" s="760"/>
      <c r="M136" s="752"/>
      <c r="N136" s="752"/>
      <c r="O136" s="752"/>
      <c r="P136" s="760"/>
      <c r="Q136" s="752"/>
      <c r="R136" s="752"/>
      <c r="S136" s="752"/>
    </row>
    <row r="137" spans="1:19" hidden="1">
      <c r="A137" s="774">
        <f t="shared" si="16"/>
        <v>9.6199999999999868</v>
      </c>
      <c r="B137" s="752"/>
      <c r="C137" s="760">
        <f t="shared" si="14"/>
        <v>0</v>
      </c>
      <c r="D137" s="760">
        <f t="shared" si="12"/>
        <v>0</v>
      </c>
      <c r="E137" s="760"/>
      <c r="F137" s="760"/>
      <c r="G137" s="760">
        <f t="shared" si="17"/>
        <v>0</v>
      </c>
      <c r="H137" s="760"/>
      <c r="I137" s="760">
        <f t="shared" ref="I137:K157" si="18">(M137+Q137)/2</f>
        <v>0</v>
      </c>
      <c r="J137" s="760">
        <f t="shared" si="18"/>
        <v>0</v>
      </c>
      <c r="K137" s="760">
        <f t="shared" si="18"/>
        <v>0</v>
      </c>
      <c r="L137" s="760"/>
      <c r="M137" s="752"/>
      <c r="N137" s="752"/>
      <c r="O137" s="752"/>
      <c r="P137" s="760"/>
      <c r="Q137" s="752"/>
      <c r="R137" s="752"/>
      <c r="S137" s="752"/>
    </row>
    <row r="138" spans="1:19" hidden="1">
      <c r="A138" s="774">
        <f t="shared" si="16"/>
        <v>9.6299999999999866</v>
      </c>
      <c r="B138" s="752"/>
      <c r="C138" s="760">
        <f t="shared" si="14"/>
        <v>0</v>
      </c>
      <c r="D138" s="760">
        <f t="shared" si="12"/>
        <v>0</v>
      </c>
      <c r="E138" s="760"/>
      <c r="F138" s="760"/>
      <c r="G138" s="760">
        <f t="shared" si="17"/>
        <v>0</v>
      </c>
      <c r="H138" s="760"/>
      <c r="I138" s="760">
        <f t="shared" si="18"/>
        <v>0</v>
      </c>
      <c r="J138" s="760">
        <f t="shared" si="18"/>
        <v>0</v>
      </c>
      <c r="K138" s="760">
        <f t="shared" si="18"/>
        <v>0</v>
      </c>
      <c r="L138" s="760"/>
      <c r="M138" s="752"/>
      <c r="N138" s="752"/>
      <c r="O138" s="752"/>
      <c r="P138" s="760"/>
      <c r="Q138" s="752"/>
      <c r="R138" s="752"/>
      <c r="S138" s="752"/>
    </row>
    <row r="139" spans="1:19" hidden="1">
      <c r="A139" s="774">
        <f t="shared" si="16"/>
        <v>9.6399999999999864</v>
      </c>
      <c r="B139" s="752"/>
      <c r="C139" s="764">
        <f t="shared" si="14"/>
        <v>0</v>
      </c>
      <c r="D139" s="764">
        <f t="shared" si="12"/>
        <v>0</v>
      </c>
      <c r="E139" s="764"/>
      <c r="F139" s="764"/>
      <c r="G139" s="764">
        <f t="shared" si="17"/>
        <v>0</v>
      </c>
      <c r="H139" s="764"/>
      <c r="I139" s="764">
        <f t="shared" si="18"/>
        <v>0</v>
      </c>
      <c r="J139" s="764">
        <f t="shared" si="18"/>
        <v>0</v>
      </c>
      <c r="K139" s="764">
        <f t="shared" si="18"/>
        <v>0</v>
      </c>
      <c r="L139" s="764"/>
      <c r="M139" s="752"/>
      <c r="N139" s="752"/>
      <c r="O139" s="752"/>
      <c r="P139" s="764"/>
      <c r="Q139" s="752"/>
      <c r="R139" s="752"/>
      <c r="S139" s="752"/>
    </row>
    <row r="140" spans="1:19" hidden="1">
      <c r="A140" s="774">
        <f>A139+0.01</f>
        <v>9.6499999999999861</v>
      </c>
      <c r="B140" s="752"/>
      <c r="C140" s="760">
        <f t="shared" si="14"/>
        <v>0</v>
      </c>
      <c r="D140" s="760">
        <f t="shared" ref="D140:D168" si="19">SUM(Q140:S140)</f>
        <v>0</v>
      </c>
      <c r="E140" s="760"/>
      <c r="F140" s="760"/>
      <c r="G140" s="760">
        <f t="shared" si="17"/>
        <v>0</v>
      </c>
      <c r="H140" s="760"/>
      <c r="I140" s="760">
        <f t="shared" si="18"/>
        <v>0</v>
      </c>
      <c r="J140" s="760">
        <f t="shared" si="18"/>
        <v>0</v>
      </c>
      <c r="K140" s="760">
        <f t="shared" si="18"/>
        <v>0</v>
      </c>
      <c r="L140" s="760"/>
      <c r="M140" s="752"/>
      <c r="N140" s="752"/>
      <c r="O140" s="752"/>
      <c r="P140" s="760"/>
      <c r="Q140" s="752"/>
      <c r="R140" s="752"/>
      <c r="S140" s="752"/>
    </row>
    <row r="141" spans="1:19" hidden="1">
      <c r="A141" s="774">
        <f t="shared" si="16"/>
        <v>9.6599999999999859</v>
      </c>
      <c r="B141" s="752"/>
      <c r="C141" s="760">
        <f t="shared" ref="C141:C168" si="20">SUM(M141:O141)</f>
        <v>0</v>
      </c>
      <c r="D141" s="760">
        <f t="shared" si="19"/>
        <v>0</v>
      </c>
      <c r="E141" s="760"/>
      <c r="F141" s="760"/>
      <c r="G141" s="760">
        <f t="shared" si="17"/>
        <v>0</v>
      </c>
      <c r="H141" s="760"/>
      <c r="I141" s="760">
        <f t="shared" si="18"/>
        <v>0</v>
      </c>
      <c r="J141" s="760">
        <f t="shared" si="18"/>
        <v>0</v>
      </c>
      <c r="K141" s="760">
        <f t="shared" si="18"/>
        <v>0</v>
      </c>
      <c r="L141" s="760"/>
      <c r="M141" s="752"/>
      <c r="N141" s="752"/>
      <c r="O141" s="752"/>
      <c r="P141" s="760"/>
      <c r="Q141" s="752"/>
      <c r="R141" s="752"/>
      <c r="S141" s="752"/>
    </row>
    <row r="142" spans="1:19" hidden="1">
      <c r="A142" s="774">
        <f t="shared" ref="A142:A174" si="21">A141+0.01</f>
        <v>9.6699999999999857</v>
      </c>
      <c r="B142" s="752"/>
      <c r="C142" s="760">
        <f t="shared" si="20"/>
        <v>0</v>
      </c>
      <c r="D142" s="760">
        <f t="shared" si="19"/>
        <v>0</v>
      </c>
      <c r="E142" s="760"/>
      <c r="F142" s="760"/>
      <c r="G142" s="760">
        <f t="shared" si="17"/>
        <v>0</v>
      </c>
      <c r="H142" s="760"/>
      <c r="I142" s="760">
        <f t="shared" si="18"/>
        <v>0</v>
      </c>
      <c r="J142" s="760">
        <f t="shared" si="18"/>
        <v>0</v>
      </c>
      <c r="K142" s="760">
        <f t="shared" si="18"/>
        <v>0</v>
      </c>
      <c r="L142" s="760"/>
      <c r="M142" s="752"/>
      <c r="N142" s="752"/>
      <c r="O142" s="752"/>
      <c r="P142" s="760"/>
      <c r="Q142" s="752"/>
      <c r="R142" s="752"/>
      <c r="S142" s="752"/>
    </row>
    <row r="143" spans="1:19" hidden="1">
      <c r="A143" s="774">
        <f t="shared" si="21"/>
        <v>9.6799999999999855</v>
      </c>
      <c r="B143" s="752"/>
      <c r="C143" s="760">
        <f t="shared" si="20"/>
        <v>0</v>
      </c>
      <c r="D143" s="760">
        <f t="shared" si="19"/>
        <v>0</v>
      </c>
      <c r="E143" s="760"/>
      <c r="F143" s="760"/>
      <c r="G143" s="760">
        <f t="shared" si="17"/>
        <v>0</v>
      </c>
      <c r="H143" s="760"/>
      <c r="I143" s="760">
        <f t="shared" si="18"/>
        <v>0</v>
      </c>
      <c r="J143" s="760">
        <f t="shared" si="18"/>
        <v>0</v>
      </c>
      <c r="K143" s="760">
        <f t="shared" si="18"/>
        <v>0</v>
      </c>
      <c r="L143" s="760"/>
      <c r="M143" s="752"/>
      <c r="N143" s="752"/>
      <c r="O143" s="752"/>
      <c r="P143" s="760"/>
      <c r="Q143" s="752"/>
      <c r="R143" s="752"/>
      <c r="S143" s="752"/>
    </row>
    <row r="144" spans="1:19" hidden="1">
      <c r="A144" s="774">
        <f t="shared" si="21"/>
        <v>9.6899999999999853</v>
      </c>
      <c r="B144" s="752"/>
      <c r="C144" s="760">
        <f t="shared" si="20"/>
        <v>0</v>
      </c>
      <c r="D144" s="760">
        <f t="shared" si="19"/>
        <v>0</v>
      </c>
      <c r="E144" s="760"/>
      <c r="F144" s="760"/>
      <c r="G144" s="760">
        <f t="shared" si="17"/>
        <v>0</v>
      </c>
      <c r="H144" s="760"/>
      <c r="I144" s="760">
        <f t="shared" si="18"/>
        <v>0</v>
      </c>
      <c r="J144" s="760">
        <f t="shared" si="18"/>
        <v>0</v>
      </c>
      <c r="K144" s="760">
        <f t="shared" si="18"/>
        <v>0</v>
      </c>
      <c r="L144" s="760"/>
      <c r="M144" s="752"/>
      <c r="N144" s="752"/>
      <c r="O144" s="752"/>
      <c r="P144" s="760"/>
      <c r="Q144" s="752"/>
      <c r="R144" s="752"/>
      <c r="S144" s="752"/>
    </row>
    <row r="145" spans="1:19" hidden="1">
      <c r="A145" s="774">
        <f t="shared" si="21"/>
        <v>9.6999999999999851</v>
      </c>
      <c r="B145" s="752"/>
      <c r="C145" s="760">
        <f>SUM(M145:O145)</f>
        <v>0</v>
      </c>
      <c r="D145" s="760">
        <f t="shared" si="19"/>
        <v>0</v>
      </c>
      <c r="E145" s="760"/>
      <c r="F145" s="760"/>
      <c r="G145" s="760">
        <f t="shared" si="17"/>
        <v>0</v>
      </c>
      <c r="H145" s="760"/>
      <c r="I145" s="760">
        <f t="shared" si="18"/>
        <v>0</v>
      </c>
      <c r="J145" s="760">
        <f t="shared" si="18"/>
        <v>0</v>
      </c>
      <c r="K145" s="760">
        <f t="shared" si="18"/>
        <v>0</v>
      </c>
      <c r="L145" s="760"/>
      <c r="M145" s="752"/>
      <c r="N145" s="752"/>
      <c r="O145" s="752"/>
      <c r="P145" s="760"/>
      <c r="Q145" s="752"/>
      <c r="R145" s="752"/>
      <c r="S145" s="752"/>
    </row>
    <row r="146" spans="1:19" hidden="1">
      <c r="A146" s="774">
        <f t="shared" si="21"/>
        <v>9.7099999999999849</v>
      </c>
      <c r="B146" s="752"/>
      <c r="C146" s="760">
        <f t="shared" si="20"/>
        <v>0</v>
      </c>
      <c r="D146" s="760">
        <f t="shared" si="19"/>
        <v>0</v>
      </c>
      <c r="E146" s="760"/>
      <c r="F146" s="760"/>
      <c r="G146" s="760">
        <f t="shared" si="17"/>
        <v>0</v>
      </c>
      <c r="H146" s="760"/>
      <c r="I146" s="760">
        <f t="shared" si="18"/>
        <v>0</v>
      </c>
      <c r="J146" s="760">
        <f t="shared" si="18"/>
        <v>0</v>
      </c>
      <c r="K146" s="760">
        <f t="shared" si="18"/>
        <v>0</v>
      </c>
      <c r="L146" s="760"/>
      <c r="M146" s="752"/>
      <c r="N146" s="752"/>
      <c r="O146" s="752"/>
      <c r="P146" s="760"/>
      <c r="Q146" s="752"/>
      <c r="R146" s="752"/>
      <c r="S146" s="752"/>
    </row>
    <row r="147" spans="1:19" hidden="1">
      <c r="A147" s="774">
        <f t="shared" si="21"/>
        <v>9.7199999999999847</v>
      </c>
      <c r="B147" s="752"/>
      <c r="C147" s="760">
        <f>SUM(M147:O147)</f>
        <v>0</v>
      </c>
      <c r="D147" s="760">
        <f t="shared" si="19"/>
        <v>0</v>
      </c>
      <c r="E147" s="760"/>
      <c r="F147" s="760"/>
      <c r="G147" s="760">
        <f t="shared" si="17"/>
        <v>0</v>
      </c>
      <c r="H147" s="760"/>
      <c r="I147" s="760">
        <f t="shared" si="18"/>
        <v>0</v>
      </c>
      <c r="J147" s="760">
        <f t="shared" si="18"/>
        <v>0</v>
      </c>
      <c r="K147" s="760">
        <f t="shared" si="18"/>
        <v>0</v>
      </c>
      <c r="L147" s="760"/>
      <c r="M147" s="752"/>
      <c r="N147" s="752"/>
      <c r="O147" s="752"/>
      <c r="P147" s="760"/>
      <c r="Q147" s="752"/>
      <c r="R147" s="752"/>
      <c r="S147" s="752"/>
    </row>
    <row r="148" spans="1:19" hidden="1">
      <c r="A148" s="774">
        <f t="shared" si="21"/>
        <v>9.7299999999999844</v>
      </c>
      <c r="B148" s="752"/>
      <c r="C148" s="760">
        <f>SUM(M148:O148)</f>
        <v>0</v>
      </c>
      <c r="D148" s="760">
        <f t="shared" si="19"/>
        <v>0</v>
      </c>
      <c r="E148" s="760"/>
      <c r="F148" s="760"/>
      <c r="G148" s="760">
        <f t="shared" si="17"/>
        <v>0</v>
      </c>
      <c r="H148" s="760"/>
      <c r="I148" s="760">
        <f t="shared" si="18"/>
        <v>0</v>
      </c>
      <c r="J148" s="760">
        <f t="shared" si="18"/>
        <v>0</v>
      </c>
      <c r="K148" s="760">
        <f t="shared" si="18"/>
        <v>0</v>
      </c>
      <c r="L148" s="760"/>
      <c r="M148" s="752"/>
      <c r="N148" s="752"/>
      <c r="O148" s="752"/>
      <c r="P148" s="760"/>
      <c r="Q148" s="752"/>
      <c r="R148" s="752"/>
      <c r="S148" s="752"/>
    </row>
    <row r="149" spans="1:19" hidden="1">
      <c r="A149" s="774">
        <f t="shared" si="21"/>
        <v>9.7399999999999842</v>
      </c>
      <c r="B149" s="752"/>
      <c r="C149" s="760">
        <f>SUM(M149:O149)</f>
        <v>0</v>
      </c>
      <c r="D149" s="760">
        <f t="shared" si="19"/>
        <v>0</v>
      </c>
      <c r="E149" s="760"/>
      <c r="F149" s="760"/>
      <c r="G149" s="760">
        <f t="shared" si="17"/>
        <v>0</v>
      </c>
      <c r="H149" s="760"/>
      <c r="I149" s="760">
        <f t="shared" si="18"/>
        <v>0</v>
      </c>
      <c r="J149" s="760">
        <f t="shared" si="18"/>
        <v>0</v>
      </c>
      <c r="K149" s="760">
        <f t="shared" si="18"/>
        <v>0</v>
      </c>
      <c r="L149" s="760"/>
      <c r="M149" s="752"/>
      <c r="N149" s="752"/>
      <c r="O149" s="752"/>
      <c r="P149" s="760"/>
      <c r="Q149" s="752"/>
      <c r="R149" s="752"/>
      <c r="S149" s="752"/>
    </row>
    <row r="150" spans="1:19" hidden="1">
      <c r="A150" s="774">
        <f t="shared" si="21"/>
        <v>9.749999999999984</v>
      </c>
      <c r="B150" s="752"/>
      <c r="C150" s="760">
        <f>SUM(M150:O150)</f>
        <v>0</v>
      </c>
      <c r="D150" s="760">
        <f t="shared" si="19"/>
        <v>0</v>
      </c>
      <c r="E150" s="760"/>
      <c r="F150" s="760"/>
      <c r="G150" s="760">
        <f t="shared" si="17"/>
        <v>0</v>
      </c>
      <c r="H150" s="760"/>
      <c r="I150" s="760">
        <f t="shared" si="18"/>
        <v>0</v>
      </c>
      <c r="J150" s="760">
        <f t="shared" si="18"/>
        <v>0</v>
      </c>
      <c r="K150" s="760">
        <f t="shared" si="18"/>
        <v>0</v>
      </c>
      <c r="L150" s="760"/>
      <c r="M150" s="752"/>
      <c r="N150" s="752"/>
      <c r="O150" s="752"/>
      <c r="P150" s="760"/>
      <c r="Q150" s="752"/>
      <c r="R150" s="752"/>
      <c r="S150" s="752"/>
    </row>
    <row r="151" spans="1:19" hidden="1">
      <c r="A151" s="774">
        <f t="shared" si="21"/>
        <v>9.7599999999999838</v>
      </c>
      <c r="B151" s="752"/>
      <c r="C151" s="760">
        <f t="shared" si="20"/>
        <v>0</v>
      </c>
      <c r="D151" s="760">
        <f t="shared" si="19"/>
        <v>0</v>
      </c>
      <c r="E151" s="760"/>
      <c r="F151" s="760"/>
      <c r="G151" s="760">
        <f t="shared" si="17"/>
        <v>0</v>
      </c>
      <c r="H151" s="760"/>
      <c r="I151" s="760">
        <f t="shared" si="18"/>
        <v>0</v>
      </c>
      <c r="J151" s="760">
        <f t="shared" si="18"/>
        <v>0</v>
      </c>
      <c r="K151" s="760">
        <f t="shared" si="18"/>
        <v>0</v>
      </c>
      <c r="L151" s="760"/>
      <c r="M151" s="752"/>
      <c r="N151" s="752"/>
      <c r="O151" s="752"/>
      <c r="P151" s="760"/>
      <c r="Q151" s="752"/>
      <c r="R151" s="752"/>
      <c r="S151" s="752"/>
    </row>
    <row r="152" spans="1:19" hidden="1">
      <c r="A152" s="774">
        <f t="shared" si="21"/>
        <v>9.7699999999999836</v>
      </c>
      <c r="B152" s="752"/>
      <c r="C152" s="760">
        <f t="shared" si="20"/>
        <v>0</v>
      </c>
      <c r="D152" s="760">
        <f t="shared" si="19"/>
        <v>0</v>
      </c>
      <c r="E152" s="760"/>
      <c r="F152" s="760"/>
      <c r="G152" s="760">
        <f t="shared" si="17"/>
        <v>0</v>
      </c>
      <c r="H152" s="760"/>
      <c r="I152" s="760">
        <f t="shared" si="18"/>
        <v>0</v>
      </c>
      <c r="J152" s="760">
        <f t="shared" si="18"/>
        <v>0</v>
      </c>
      <c r="K152" s="760">
        <f t="shared" si="18"/>
        <v>0</v>
      </c>
      <c r="L152" s="760"/>
      <c r="M152" s="752"/>
      <c r="N152" s="752"/>
      <c r="O152" s="752"/>
      <c r="P152" s="760"/>
      <c r="Q152" s="752"/>
      <c r="R152" s="752"/>
      <c r="S152" s="752"/>
    </row>
    <row r="153" spans="1:19" hidden="1">
      <c r="A153" s="774">
        <f t="shared" si="21"/>
        <v>9.7799999999999834</v>
      </c>
      <c r="B153" s="752"/>
      <c r="C153" s="760">
        <f t="shared" si="20"/>
        <v>0</v>
      </c>
      <c r="D153" s="760">
        <f t="shared" si="19"/>
        <v>0</v>
      </c>
      <c r="E153" s="760"/>
      <c r="F153" s="760"/>
      <c r="G153" s="760">
        <f t="shared" si="17"/>
        <v>0</v>
      </c>
      <c r="H153" s="760"/>
      <c r="I153" s="760">
        <f t="shared" si="18"/>
        <v>0</v>
      </c>
      <c r="J153" s="760">
        <f t="shared" si="18"/>
        <v>0</v>
      </c>
      <c r="K153" s="760">
        <f t="shared" si="18"/>
        <v>0</v>
      </c>
      <c r="L153" s="760"/>
      <c r="M153" s="752"/>
      <c r="N153" s="752"/>
      <c r="O153" s="752"/>
      <c r="P153" s="760"/>
      <c r="Q153" s="752"/>
      <c r="R153" s="752"/>
      <c r="S153" s="752"/>
    </row>
    <row r="154" spans="1:19" hidden="1">
      <c r="A154" s="774">
        <f t="shared" si="21"/>
        <v>9.7899999999999832</v>
      </c>
      <c r="B154" s="752"/>
      <c r="C154" s="760">
        <f t="shared" si="20"/>
        <v>0</v>
      </c>
      <c r="D154" s="760">
        <f t="shared" si="19"/>
        <v>0</v>
      </c>
      <c r="E154" s="760"/>
      <c r="F154" s="760"/>
      <c r="G154" s="760">
        <f t="shared" si="17"/>
        <v>0</v>
      </c>
      <c r="H154" s="760"/>
      <c r="I154" s="760">
        <f t="shared" si="18"/>
        <v>0</v>
      </c>
      <c r="J154" s="760">
        <f t="shared" si="18"/>
        <v>0</v>
      </c>
      <c r="K154" s="760">
        <f t="shared" si="18"/>
        <v>0</v>
      </c>
      <c r="L154" s="760"/>
      <c r="M154" s="752"/>
      <c r="N154" s="752"/>
      <c r="O154" s="752"/>
      <c r="P154" s="760"/>
      <c r="Q154" s="752"/>
      <c r="R154" s="752"/>
      <c r="S154" s="752"/>
    </row>
    <row r="155" spans="1:19" hidden="1">
      <c r="A155" s="774">
        <f t="shared" si="21"/>
        <v>9.7999999999999829</v>
      </c>
      <c r="B155" s="752"/>
      <c r="C155" s="760">
        <f t="shared" si="20"/>
        <v>0</v>
      </c>
      <c r="D155" s="760">
        <f t="shared" si="19"/>
        <v>0</v>
      </c>
      <c r="E155" s="760"/>
      <c r="F155" s="760"/>
      <c r="G155" s="760">
        <f t="shared" si="17"/>
        <v>0</v>
      </c>
      <c r="H155" s="760"/>
      <c r="I155" s="760">
        <f t="shared" si="18"/>
        <v>0</v>
      </c>
      <c r="J155" s="760">
        <f t="shared" si="18"/>
        <v>0</v>
      </c>
      <c r="K155" s="760">
        <f t="shared" si="18"/>
        <v>0</v>
      </c>
      <c r="L155" s="760"/>
      <c r="M155" s="752"/>
      <c r="N155" s="752"/>
      <c r="O155" s="752"/>
      <c r="P155" s="760"/>
      <c r="Q155" s="752"/>
      <c r="R155" s="752"/>
      <c r="S155" s="752"/>
    </row>
    <row r="156" spans="1:19" hidden="1">
      <c r="A156" s="774">
        <f t="shared" si="21"/>
        <v>9.8099999999999827</v>
      </c>
      <c r="B156" s="752"/>
      <c r="C156" s="760">
        <f t="shared" si="20"/>
        <v>0</v>
      </c>
      <c r="D156" s="760">
        <f t="shared" si="19"/>
        <v>0</v>
      </c>
      <c r="E156" s="760"/>
      <c r="F156" s="760"/>
      <c r="G156" s="760">
        <f t="shared" si="17"/>
        <v>0</v>
      </c>
      <c r="H156" s="760"/>
      <c r="I156" s="760">
        <f t="shared" si="18"/>
        <v>0</v>
      </c>
      <c r="J156" s="760">
        <f t="shared" si="18"/>
        <v>0</v>
      </c>
      <c r="K156" s="760">
        <f t="shared" si="18"/>
        <v>0</v>
      </c>
      <c r="L156" s="760"/>
      <c r="M156" s="752"/>
      <c r="N156" s="752"/>
      <c r="O156" s="752"/>
      <c r="P156" s="760"/>
      <c r="Q156" s="752"/>
      <c r="R156" s="752"/>
      <c r="S156" s="752"/>
    </row>
    <row r="157" spans="1:19" hidden="1">
      <c r="A157" s="774">
        <f t="shared" si="21"/>
        <v>9.8199999999999825</v>
      </c>
      <c r="B157" s="752"/>
      <c r="C157" s="760">
        <f t="shared" si="20"/>
        <v>0</v>
      </c>
      <c r="D157" s="760">
        <f t="shared" si="19"/>
        <v>0</v>
      </c>
      <c r="E157" s="760"/>
      <c r="F157" s="760"/>
      <c r="G157" s="760">
        <f t="shared" si="17"/>
        <v>0</v>
      </c>
      <c r="H157" s="760"/>
      <c r="I157" s="760">
        <f t="shared" si="18"/>
        <v>0</v>
      </c>
      <c r="J157" s="760">
        <f t="shared" si="18"/>
        <v>0</v>
      </c>
      <c r="K157" s="760">
        <f t="shared" si="18"/>
        <v>0</v>
      </c>
      <c r="L157" s="760"/>
      <c r="M157" s="752"/>
      <c r="N157" s="752"/>
      <c r="O157" s="752"/>
      <c r="P157" s="760"/>
      <c r="Q157" s="752"/>
      <c r="R157" s="752"/>
      <c r="S157" s="752"/>
    </row>
    <row r="158" spans="1:19" hidden="1">
      <c r="A158" s="774">
        <f t="shared" si="21"/>
        <v>9.8299999999999823</v>
      </c>
      <c r="B158" s="752"/>
      <c r="C158" s="760">
        <f>SUM(M158:O158)</f>
        <v>0</v>
      </c>
      <c r="D158" s="760">
        <f t="shared" si="19"/>
        <v>0</v>
      </c>
      <c r="E158" s="760"/>
      <c r="F158" s="760"/>
      <c r="G158" s="760">
        <f t="shared" si="17"/>
        <v>0</v>
      </c>
      <c r="H158" s="760"/>
      <c r="I158" s="760">
        <f t="shared" ref="I158:K168" si="22">(M158+Q158)/2</f>
        <v>0</v>
      </c>
      <c r="J158" s="760">
        <f t="shared" si="22"/>
        <v>0</v>
      </c>
      <c r="K158" s="760">
        <f t="shared" si="22"/>
        <v>0</v>
      </c>
      <c r="L158" s="760"/>
      <c r="M158" s="752"/>
      <c r="N158" s="752"/>
      <c r="O158" s="752"/>
      <c r="P158" s="760"/>
      <c r="Q158" s="752"/>
      <c r="R158" s="752"/>
      <c r="S158" s="752"/>
    </row>
    <row r="159" spans="1:19" hidden="1">
      <c r="A159" s="774">
        <f t="shared" si="21"/>
        <v>9.8399999999999821</v>
      </c>
      <c r="B159" s="752"/>
      <c r="C159" s="760">
        <f>SUM(M159:O159)</f>
        <v>0</v>
      </c>
      <c r="D159" s="760">
        <f t="shared" si="19"/>
        <v>0</v>
      </c>
      <c r="E159" s="760"/>
      <c r="F159" s="760"/>
      <c r="G159" s="760">
        <f t="shared" si="17"/>
        <v>0</v>
      </c>
      <c r="H159" s="760"/>
      <c r="I159" s="760">
        <f t="shared" si="22"/>
        <v>0</v>
      </c>
      <c r="J159" s="760">
        <f t="shared" si="22"/>
        <v>0</v>
      </c>
      <c r="K159" s="760">
        <f t="shared" si="22"/>
        <v>0</v>
      </c>
      <c r="L159" s="760"/>
      <c r="M159" s="752"/>
      <c r="N159" s="752"/>
      <c r="O159" s="752"/>
      <c r="P159" s="760"/>
      <c r="Q159" s="752"/>
      <c r="R159" s="752"/>
      <c r="S159" s="752"/>
    </row>
    <row r="160" spans="1:19" hidden="1">
      <c r="A160" s="774">
        <f t="shared" si="21"/>
        <v>9.8499999999999819</v>
      </c>
      <c r="B160" s="752"/>
      <c r="C160" s="760">
        <f>SUM(M160:O160)</f>
        <v>0</v>
      </c>
      <c r="D160" s="760">
        <f t="shared" si="19"/>
        <v>0</v>
      </c>
      <c r="E160" s="760"/>
      <c r="F160" s="760"/>
      <c r="G160" s="760">
        <f t="shared" si="17"/>
        <v>0</v>
      </c>
      <c r="H160" s="760"/>
      <c r="I160" s="760">
        <f t="shared" si="22"/>
        <v>0</v>
      </c>
      <c r="J160" s="760">
        <f t="shared" si="22"/>
        <v>0</v>
      </c>
      <c r="K160" s="760">
        <f t="shared" si="22"/>
        <v>0</v>
      </c>
      <c r="L160" s="760"/>
      <c r="M160" s="752"/>
      <c r="N160" s="752"/>
      <c r="O160" s="752"/>
      <c r="P160" s="760"/>
      <c r="Q160" s="752"/>
      <c r="R160" s="752"/>
      <c r="S160" s="752"/>
    </row>
    <row r="161" spans="1:19" hidden="1">
      <c r="A161" s="774">
        <f t="shared" si="21"/>
        <v>9.8599999999999817</v>
      </c>
      <c r="B161" s="752"/>
      <c r="C161" s="760">
        <f>SUM(M161:O161)</f>
        <v>0</v>
      </c>
      <c r="D161" s="760">
        <f t="shared" si="19"/>
        <v>0</v>
      </c>
      <c r="E161" s="760"/>
      <c r="F161" s="760"/>
      <c r="G161" s="760">
        <f t="shared" si="17"/>
        <v>0</v>
      </c>
      <c r="H161" s="760"/>
      <c r="I161" s="760">
        <f t="shared" si="22"/>
        <v>0</v>
      </c>
      <c r="J161" s="760">
        <f t="shared" si="22"/>
        <v>0</v>
      </c>
      <c r="K161" s="760">
        <f t="shared" si="22"/>
        <v>0</v>
      </c>
      <c r="L161" s="760"/>
      <c r="M161" s="752"/>
      <c r="N161" s="752"/>
      <c r="O161" s="752"/>
      <c r="P161" s="760"/>
      <c r="Q161" s="752"/>
      <c r="R161" s="752"/>
      <c r="S161" s="752"/>
    </row>
    <row r="162" spans="1:19" hidden="1">
      <c r="A162" s="774">
        <f t="shared" si="21"/>
        <v>9.8699999999999815</v>
      </c>
      <c r="B162" s="752"/>
      <c r="C162" s="760">
        <f t="shared" si="20"/>
        <v>0</v>
      </c>
      <c r="D162" s="760">
        <f t="shared" si="19"/>
        <v>0</v>
      </c>
      <c r="E162" s="760"/>
      <c r="F162" s="760"/>
      <c r="G162" s="760">
        <f t="shared" si="17"/>
        <v>0</v>
      </c>
      <c r="H162" s="760"/>
      <c r="I162" s="760">
        <f t="shared" si="22"/>
        <v>0</v>
      </c>
      <c r="J162" s="760">
        <f t="shared" si="22"/>
        <v>0</v>
      </c>
      <c r="K162" s="760">
        <f t="shared" si="22"/>
        <v>0</v>
      </c>
      <c r="L162" s="760"/>
      <c r="M162" s="752"/>
      <c r="N162" s="752"/>
      <c r="O162" s="752"/>
      <c r="P162" s="760"/>
      <c r="Q162" s="752"/>
      <c r="R162" s="752"/>
      <c r="S162" s="752"/>
    </row>
    <row r="163" spans="1:19" hidden="1">
      <c r="A163" s="774">
        <f t="shared" si="21"/>
        <v>9.8799999999999812</v>
      </c>
      <c r="B163" s="752"/>
      <c r="C163" s="760">
        <f t="shared" si="20"/>
        <v>0</v>
      </c>
      <c r="D163" s="760">
        <f t="shared" si="19"/>
        <v>0</v>
      </c>
      <c r="E163" s="760"/>
      <c r="F163" s="760"/>
      <c r="G163" s="760">
        <f t="shared" si="17"/>
        <v>0</v>
      </c>
      <c r="H163" s="760"/>
      <c r="I163" s="760">
        <f t="shared" si="22"/>
        <v>0</v>
      </c>
      <c r="J163" s="760">
        <f t="shared" si="22"/>
        <v>0</v>
      </c>
      <c r="K163" s="760">
        <f t="shared" si="22"/>
        <v>0</v>
      </c>
      <c r="L163" s="760"/>
      <c r="M163" s="752"/>
      <c r="N163" s="752"/>
      <c r="O163" s="752"/>
      <c r="P163" s="760"/>
      <c r="Q163" s="752"/>
      <c r="R163" s="752"/>
      <c r="S163" s="752"/>
    </row>
    <row r="164" spans="1:19" hidden="1">
      <c r="A164" s="774">
        <f t="shared" si="21"/>
        <v>9.889999999999981</v>
      </c>
      <c r="B164" s="752"/>
      <c r="C164" s="760">
        <f t="shared" si="20"/>
        <v>0</v>
      </c>
      <c r="D164" s="760">
        <f t="shared" si="19"/>
        <v>0</v>
      </c>
      <c r="E164" s="760"/>
      <c r="F164" s="760"/>
      <c r="G164" s="760">
        <f t="shared" si="17"/>
        <v>0</v>
      </c>
      <c r="H164" s="760"/>
      <c r="I164" s="760">
        <f t="shared" si="22"/>
        <v>0</v>
      </c>
      <c r="J164" s="760">
        <f t="shared" si="22"/>
        <v>0</v>
      </c>
      <c r="K164" s="760">
        <f t="shared" si="22"/>
        <v>0</v>
      </c>
      <c r="L164" s="760"/>
      <c r="M164" s="752"/>
      <c r="N164" s="752"/>
      <c r="O164" s="752"/>
      <c r="P164" s="760"/>
      <c r="Q164" s="752"/>
      <c r="R164" s="752"/>
      <c r="S164" s="752"/>
    </row>
    <row r="165" spans="1:19" hidden="1">
      <c r="A165" s="774">
        <f t="shared" si="21"/>
        <v>9.8999999999999808</v>
      </c>
      <c r="B165" s="752"/>
      <c r="C165" s="760">
        <f t="shared" si="20"/>
        <v>0</v>
      </c>
      <c r="D165" s="760">
        <f t="shared" si="19"/>
        <v>0</v>
      </c>
      <c r="E165" s="760"/>
      <c r="F165" s="760"/>
      <c r="G165" s="760">
        <f t="shared" si="17"/>
        <v>0</v>
      </c>
      <c r="H165" s="760"/>
      <c r="I165" s="760">
        <f t="shared" si="22"/>
        <v>0</v>
      </c>
      <c r="J165" s="760">
        <f t="shared" si="22"/>
        <v>0</v>
      </c>
      <c r="K165" s="760">
        <f t="shared" si="22"/>
        <v>0</v>
      </c>
      <c r="L165" s="760"/>
      <c r="M165" s="752"/>
      <c r="N165" s="752"/>
      <c r="O165" s="752"/>
      <c r="P165" s="760"/>
      <c r="Q165" s="752"/>
      <c r="R165" s="752"/>
      <c r="S165" s="752"/>
    </row>
    <row r="166" spans="1:19" hidden="1">
      <c r="A166" s="774">
        <f t="shared" si="21"/>
        <v>9.9099999999999806</v>
      </c>
      <c r="B166" s="752"/>
      <c r="C166" s="760">
        <f t="shared" si="20"/>
        <v>0</v>
      </c>
      <c r="D166" s="760">
        <f t="shared" si="19"/>
        <v>0</v>
      </c>
      <c r="E166" s="760"/>
      <c r="F166" s="760"/>
      <c r="G166" s="760">
        <f>ROUND(SUM(C166:F166)/2,0)</f>
        <v>0</v>
      </c>
      <c r="H166" s="760"/>
      <c r="I166" s="760">
        <f t="shared" si="22"/>
        <v>0</v>
      </c>
      <c r="J166" s="760">
        <f t="shared" si="22"/>
        <v>0</v>
      </c>
      <c r="K166" s="760">
        <f t="shared" si="22"/>
        <v>0</v>
      </c>
      <c r="L166" s="760"/>
      <c r="M166" s="752"/>
      <c r="N166" s="752"/>
      <c r="O166" s="752"/>
      <c r="P166" s="760"/>
      <c r="Q166" s="752"/>
      <c r="R166" s="752"/>
      <c r="S166" s="752"/>
    </row>
    <row r="167" spans="1:19" hidden="1">
      <c r="A167" s="774">
        <f t="shared" si="21"/>
        <v>9.9199999999999804</v>
      </c>
      <c r="B167" s="752"/>
      <c r="C167" s="760">
        <f t="shared" si="20"/>
        <v>0</v>
      </c>
      <c r="D167" s="760">
        <f t="shared" si="19"/>
        <v>0</v>
      </c>
      <c r="E167" s="760"/>
      <c r="F167" s="760"/>
      <c r="G167" s="760">
        <f t="shared" si="17"/>
        <v>0</v>
      </c>
      <c r="H167" s="760"/>
      <c r="I167" s="760">
        <f t="shared" si="22"/>
        <v>0</v>
      </c>
      <c r="J167" s="760">
        <f t="shared" si="22"/>
        <v>0</v>
      </c>
      <c r="K167" s="760">
        <f t="shared" si="22"/>
        <v>0</v>
      </c>
      <c r="L167" s="760"/>
      <c r="M167" s="752"/>
      <c r="N167" s="752"/>
      <c r="O167" s="752"/>
      <c r="P167" s="760"/>
      <c r="Q167" s="752"/>
      <c r="R167" s="752"/>
      <c r="S167" s="752"/>
    </row>
    <row r="168" spans="1:19">
      <c r="A168" s="774">
        <f t="shared" si="21"/>
        <v>9.9299999999999802</v>
      </c>
      <c r="B168" s="752"/>
      <c r="C168" s="760">
        <f t="shared" si="20"/>
        <v>0</v>
      </c>
      <c r="D168" s="760">
        <f t="shared" si="19"/>
        <v>0</v>
      </c>
      <c r="E168" s="760"/>
      <c r="F168" s="760"/>
      <c r="G168" s="760">
        <f t="shared" si="17"/>
        <v>0</v>
      </c>
      <c r="H168" s="760"/>
      <c r="I168" s="760">
        <f t="shared" si="22"/>
        <v>0</v>
      </c>
      <c r="J168" s="760">
        <f t="shared" si="22"/>
        <v>0</v>
      </c>
      <c r="K168" s="760">
        <f t="shared" si="22"/>
        <v>0</v>
      </c>
      <c r="L168" s="760"/>
      <c r="M168" s="752"/>
      <c r="N168" s="752"/>
      <c r="O168" s="752"/>
      <c r="P168" s="760"/>
      <c r="Q168" s="752"/>
      <c r="R168" s="752"/>
      <c r="S168" s="752"/>
    </row>
    <row r="169" spans="1:19">
      <c r="A169" s="774">
        <f t="shared" si="21"/>
        <v>9.93999999999998</v>
      </c>
      <c r="B169" s="752"/>
      <c r="C169" s="752"/>
      <c r="D169" s="752"/>
      <c r="E169" s="760">
        <f t="shared" ref="E169:F174" si="23">-C169</f>
        <v>0</v>
      </c>
      <c r="F169" s="760">
        <f t="shared" si="23"/>
        <v>0</v>
      </c>
      <c r="G169" s="760">
        <f t="shared" si="17"/>
        <v>0</v>
      </c>
      <c r="H169" s="760"/>
      <c r="I169" s="760"/>
      <c r="J169" s="760"/>
      <c r="K169" s="760"/>
      <c r="L169" s="760"/>
      <c r="M169" s="760"/>
      <c r="N169" s="760"/>
      <c r="O169" s="760"/>
      <c r="P169" s="760"/>
      <c r="Q169" s="760"/>
      <c r="R169" s="760"/>
      <c r="S169" s="760"/>
    </row>
    <row r="170" spans="1:19">
      <c r="A170" s="774">
        <f t="shared" si="21"/>
        <v>9.9499999999999797</v>
      </c>
      <c r="B170" s="752"/>
      <c r="C170" s="752"/>
      <c r="D170" s="752"/>
      <c r="E170" s="760">
        <f t="shared" si="23"/>
        <v>0</v>
      </c>
      <c r="F170" s="760">
        <f t="shared" si="23"/>
        <v>0</v>
      </c>
      <c r="G170" s="760">
        <f t="shared" si="17"/>
        <v>0</v>
      </c>
      <c r="H170" s="760"/>
      <c r="I170" s="760"/>
      <c r="J170" s="760"/>
      <c r="K170" s="760"/>
      <c r="L170" s="760"/>
      <c r="M170" s="760"/>
      <c r="N170" s="760"/>
      <c r="O170" s="760"/>
      <c r="P170" s="760"/>
      <c r="Q170" s="760"/>
      <c r="R170" s="760"/>
      <c r="S170" s="760"/>
    </row>
    <row r="171" spans="1:19">
      <c r="A171" s="774">
        <f t="shared" si="21"/>
        <v>9.9599999999999795</v>
      </c>
      <c r="B171" s="752"/>
      <c r="C171" s="752"/>
      <c r="D171" s="752"/>
      <c r="E171" s="760">
        <f t="shared" si="23"/>
        <v>0</v>
      </c>
      <c r="F171" s="760">
        <f t="shared" si="23"/>
        <v>0</v>
      </c>
      <c r="G171" s="760">
        <f t="shared" si="17"/>
        <v>0</v>
      </c>
      <c r="H171" s="760"/>
      <c r="I171" s="760"/>
      <c r="J171" s="760"/>
      <c r="K171" s="760"/>
      <c r="L171" s="760"/>
      <c r="M171" s="760"/>
      <c r="N171" s="760"/>
      <c r="O171" s="760"/>
      <c r="P171" s="760"/>
      <c r="Q171" s="760"/>
      <c r="R171" s="760"/>
      <c r="S171" s="760"/>
    </row>
    <row r="172" spans="1:19">
      <c r="A172" s="774">
        <f t="shared" si="21"/>
        <v>9.9699999999999793</v>
      </c>
      <c r="B172" s="752"/>
      <c r="C172" s="752"/>
      <c r="D172" s="752"/>
      <c r="E172" s="760">
        <f>-C172</f>
        <v>0</v>
      </c>
      <c r="F172" s="760">
        <f>-D172</f>
        <v>0</v>
      </c>
      <c r="G172" s="760">
        <f t="shared" si="17"/>
        <v>0</v>
      </c>
      <c r="H172" s="760"/>
      <c r="I172" s="760"/>
      <c r="J172" s="760"/>
      <c r="K172" s="760"/>
      <c r="L172" s="760"/>
      <c r="M172" s="760"/>
      <c r="N172" s="760"/>
      <c r="O172" s="760"/>
      <c r="P172" s="760"/>
      <c r="Q172" s="760"/>
      <c r="R172" s="760"/>
      <c r="S172" s="760"/>
    </row>
    <row r="173" spans="1:19">
      <c r="A173" s="774">
        <f t="shared" si="21"/>
        <v>9.9799999999999791</v>
      </c>
      <c r="B173" s="752"/>
      <c r="C173" s="752"/>
      <c r="D173" s="752"/>
      <c r="E173" s="760">
        <f>-C173</f>
        <v>0</v>
      </c>
      <c r="F173" s="760">
        <f>-D173</f>
        <v>0</v>
      </c>
      <c r="G173" s="760">
        <f t="shared" si="17"/>
        <v>0</v>
      </c>
      <c r="H173" s="760"/>
      <c r="I173" s="760"/>
      <c r="J173" s="760"/>
      <c r="K173" s="760"/>
      <c r="L173" s="760"/>
      <c r="M173" s="760"/>
      <c r="N173" s="760"/>
      <c r="O173" s="760"/>
      <c r="P173" s="760"/>
      <c r="Q173" s="760"/>
      <c r="R173" s="760"/>
      <c r="S173" s="760"/>
    </row>
    <row r="174" spans="1:19">
      <c r="A174" s="774">
        <f t="shared" si="21"/>
        <v>9.9899999999999789</v>
      </c>
      <c r="B174" s="752"/>
      <c r="C174" s="752"/>
      <c r="D174" s="752"/>
      <c r="E174" s="760">
        <f t="shared" si="23"/>
        <v>0</v>
      </c>
      <c r="F174" s="760">
        <f t="shared" si="23"/>
        <v>0</v>
      </c>
      <c r="G174" s="760">
        <f t="shared" si="17"/>
        <v>0</v>
      </c>
      <c r="H174" s="760"/>
      <c r="I174" s="760"/>
      <c r="J174" s="760"/>
      <c r="K174" s="760"/>
      <c r="L174" s="760"/>
      <c r="M174" s="760"/>
      <c r="N174" s="760"/>
      <c r="O174" s="760"/>
      <c r="P174" s="760"/>
      <c r="Q174" s="760"/>
      <c r="R174" s="760"/>
      <c r="S174" s="760"/>
    </row>
    <row r="175" spans="1:19">
      <c r="A175" s="767"/>
      <c r="B175" s="754"/>
      <c r="C175" s="760"/>
      <c r="D175" s="760"/>
      <c r="E175" s="760"/>
      <c r="F175" s="760"/>
      <c r="G175" s="760"/>
      <c r="H175" s="760"/>
      <c r="I175" s="760"/>
      <c r="J175" s="760"/>
      <c r="K175" s="760"/>
      <c r="L175" s="760"/>
      <c r="M175" s="760"/>
      <c r="N175" s="760"/>
      <c r="O175" s="760"/>
      <c r="P175" s="760"/>
      <c r="Q175" s="760"/>
      <c r="R175" s="760"/>
      <c r="S175" s="760"/>
    </row>
    <row r="176" spans="1:19">
      <c r="A176" s="767"/>
      <c r="B176" s="754"/>
      <c r="C176" s="760"/>
      <c r="D176" s="760"/>
      <c r="E176" s="760"/>
      <c r="F176" s="760"/>
      <c r="G176" s="760"/>
      <c r="H176" s="760"/>
      <c r="I176" s="760"/>
      <c r="J176" s="760"/>
      <c r="K176" s="760"/>
      <c r="L176" s="760"/>
      <c r="M176" s="760"/>
      <c r="N176" s="760"/>
      <c r="O176" s="760"/>
      <c r="P176" s="760"/>
      <c r="Q176" s="760"/>
      <c r="R176" s="760"/>
      <c r="S176" s="760"/>
    </row>
    <row r="177" spans="1:19" ht="13.5" thickBot="1">
      <c r="A177" s="767">
        <v>10</v>
      </c>
      <c r="C177" s="762">
        <f>SUM(C76:C176)</f>
        <v>0</v>
      </c>
      <c r="D177" s="762">
        <f>SUM(D76:D176)</f>
        <v>0</v>
      </c>
      <c r="E177" s="762">
        <f>SUM(E76:E176)</f>
        <v>0</v>
      </c>
      <c r="F177" s="762">
        <f>SUM(F76:F176)</f>
        <v>0</v>
      </c>
      <c r="G177" s="762">
        <f>SUM(G76:G176)</f>
        <v>0</v>
      </c>
      <c r="H177" s="760"/>
      <c r="I177" s="762">
        <f>SUM(I76:I176)</f>
        <v>0</v>
      </c>
      <c r="J177" s="762">
        <f>SUM(J76:J176)</f>
        <v>0</v>
      </c>
      <c r="K177" s="762">
        <f>SUM(K76:K176)</f>
        <v>0</v>
      </c>
      <c r="L177" s="760"/>
      <c r="M177" s="762">
        <f>SUM(M76:M176)</f>
        <v>0</v>
      </c>
      <c r="N177" s="762">
        <f>SUM(N76:N176)</f>
        <v>0</v>
      </c>
      <c r="O177" s="762">
        <f>SUM(O76:O176)</f>
        <v>0</v>
      </c>
      <c r="P177" s="760"/>
      <c r="Q177" s="762">
        <f>SUM(Q76:Q176)</f>
        <v>0</v>
      </c>
      <c r="R177" s="762">
        <f>SUM(R76:R176)</f>
        <v>0</v>
      </c>
      <c r="S177" s="762">
        <f>SUM(S76:S176)</f>
        <v>0</v>
      </c>
    </row>
    <row r="178" spans="1:19" ht="13.5" thickTop="1">
      <c r="A178" s="767"/>
      <c r="B178" s="754"/>
      <c r="C178" s="763"/>
      <c r="D178" s="763"/>
      <c r="E178" s="763"/>
      <c r="F178" s="763"/>
      <c r="G178" s="763"/>
      <c r="H178" s="760"/>
      <c r="I178" s="763"/>
      <c r="J178" s="763"/>
      <c r="K178" s="763"/>
      <c r="L178" s="760"/>
      <c r="M178" s="763"/>
      <c r="N178" s="763"/>
      <c r="O178" s="763"/>
      <c r="P178" s="760"/>
      <c r="Q178" s="763"/>
      <c r="R178" s="763"/>
      <c r="S178" s="763"/>
    </row>
    <row r="179" spans="1:19">
      <c r="A179" s="767"/>
      <c r="B179" s="754"/>
      <c r="C179" s="760"/>
      <c r="D179" s="760"/>
      <c r="E179" s="760"/>
      <c r="F179" s="760"/>
      <c r="G179" s="760"/>
      <c r="H179" s="760"/>
      <c r="I179" s="760"/>
      <c r="J179" s="760"/>
      <c r="K179" s="760"/>
      <c r="L179" s="760"/>
      <c r="M179" s="760"/>
      <c r="N179" s="760"/>
      <c r="O179" s="760"/>
      <c r="P179" s="760"/>
      <c r="Q179" s="760"/>
      <c r="R179" s="760"/>
      <c r="S179" s="760"/>
    </row>
    <row r="180" spans="1:19">
      <c r="A180" s="767">
        <f>+A177+1</f>
        <v>11</v>
      </c>
      <c r="B180" s="750" t="s">
        <v>677</v>
      </c>
      <c r="C180" s="760">
        <f>SUM(M180:O180)</f>
        <v>0</v>
      </c>
      <c r="D180" s="760">
        <f>SUM(Q180:S180)</f>
        <v>0</v>
      </c>
      <c r="E180" s="760"/>
      <c r="F180" s="760"/>
      <c r="G180" s="760">
        <f>ROUND(SUM(C180:F180)/2,0)</f>
        <v>0</v>
      </c>
      <c r="H180" s="760"/>
      <c r="I180" s="760">
        <f>(M180+Q180)/2</f>
        <v>0</v>
      </c>
      <c r="J180" s="760">
        <f>(N180+R180)/2</f>
        <v>0</v>
      </c>
      <c r="K180" s="760">
        <f>(O180+S180)/2</f>
        <v>0</v>
      </c>
      <c r="L180" s="760"/>
      <c r="M180" s="752"/>
      <c r="N180" s="752"/>
      <c r="O180" s="752"/>
      <c r="P180" s="760"/>
      <c r="Q180" s="752"/>
      <c r="R180" s="752"/>
      <c r="S180" s="752"/>
    </row>
    <row r="181" spans="1:19">
      <c r="A181" s="783">
        <f>A180+0.01</f>
        <v>11.01</v>
      </c>
      <c r="B181" s="752"/>
      <c r="C181" s="752"/>
      <c r="D181" s="752"/>
      <c r="E181" s="760">
        <f>-C181</f>
        <v>0</v>
      </c>
      <c r="F181" s="760">
        <f>-D181</f>
        <v>0</v>
      </c>
      <c r="G181" s="760">
        <f>ROUND(SUM(C181:F181)/2,0)</f>
        <v>0</v>
      </c>
      <c r="H181" s="760"/>
      <c r="I181" s="760"/>
      <c r="J181" s="760"/>
      <c r="K181" s="760"/>
      <c r="L181" s="760"/>
      <c r="M181" s="760"/>
      <c r="N181" s="760"/>
      <c r="O181" s="760"/>
      <c r="P181" s="760"/>
      <c r="Q181" s="760"/>
      <c r="R181" s="760"/>
      <c r="S181" s="760"/>
    </row>
    <row r="182" spans="1:19">
      <c r="A182" s="767"/>
      <c r="B182" s="754"/>
      <c r="C182" s="760"/>
      <c r="D182" s="760"/>
      <c r="E182" s="760"/>
      <c r="F182" s="760"/>
      <c r="G182" s="760"/>
      <c r="H182" s="760"/>
      <c r="I182" s="760"/>
      <c r="J182" s="760"/>
      <c r="K182" s="760"/>
      <c r="L182" s="760"/>
      <c r="M182" s="760"/>
      <c r="N182" s="760"/>
      <c r="O182" s="760"/>
      <c r="P182" s="760"/>
      <c r="Q182" s="760"/>
      <c r="R182" s="760"/>
      <c r="S182" s="760"/>
    </row>
    <row r="183" spans="1:19" ht="13.5" thickBot="1">
      <c r="A183" s="767">
        <f>+A180+1</f>
        <v>12</v>
      </c>
      <c r="B183" s="750" t="s">
        <v>678</v>
      </c>
      <c r="C183" s="762">
        <f>SUM(C177:C182)</f>
        <v>0</v>
      </c>
      <c r="D183" s="762">
        <f>SUM(D177:D182)</f>
        <v>0</v>
      </c>
      <c r="E183" s="762">
        <f>SUM(E177:E182)</f>
        <v>0</v>
      </c>
      <c r="F183" s="762">
        <f>SUM(F177:F182)</f>
        <v>0</v>
      </c>
      <c r="G183" s="762">
        <f>SUM(G177:G182)</f>
        <v>0</v>
      </c>
      <c r="H183" s="760"/>
      <c r="I183" s="762">
        <f>SUM(I177:I182)</f>
        <v>0</v>
      </c>
      <c r="J183" s="762">
        <f>SUM(J177:J182)</f>
        <v>0</v>
      </c>
      <c r="K183" s="762">
        <f>SUM(K177:K182)</f>
        <v>0</v>
      </c>
      <c r="L183" s="760"/>
      <c r="M183" s="765">
        <f>SUM(M177:M182)</f>
        <v>0</v>
      </c>
      <c r="N183" s="765">
        <f>SUM(N177:N182)</f>
        <v>0</v>
      </c>
      <c r="O183" s="765">
        <f>SUM(O177:O182)</f>
        <v>0</v>
      </c>
      <c r="P183" s="760"/>
      <c r="Q183" s="762">
        <f>SUM(Q177:Q182)</f>
        <v>0</v>
      </c>
      <c r="R183" s="762">
        <f>SUM(R177:R182)</f>
        <v>0</v>
      </c>
      <c r="S183" s="762">
        <f>SUM(S177:S182)</f>
        <v>0</v>
      </c>
    </row>
    <row r="184" spans="1:19" ht="13.5" thickTop="1">
      <c r="A184" s="767">
        <f>A183+1</f>
        <v>13</v>
      </c>
      <c r="B184" s="754" t="s">
        <v>679</v>
      </c>
      <c r="C184" s="763">
        <f>C106+C139</f>
        <v>0</v>
      </c>
      <c r="D184" s="763">
        <f>D106+D139</f>
        <v>0</v>
      </c>
      <c r="E184" s="763">
        <f>E106+E139</f>
        <v>0</v>
      </c>
      <c r="F184" s="763">
        <f>F106+F139</f>
        <v>0</v>
      </c>
      <c r="G184" s="763">
        <f>G106+G139</f>
        <v>0</v>
      </c>
      <c r="H184" s="760"/>
      <c r="I184" s="763">
        <f>I106+I139</f>
        <v>0</v>
      </c>
      <c r="J184" s="763">
        <f>J106+J139</f>
        <v>0</v>
      </c>
      <c r="K184" s="763">
        <f>K106+K139</f>
        <v>0</v>
      </c>
      <c r="L184" s="760"/>
      <c r="M184" s="763">
        <f>M106+M139</f>
        <v>0</v>
      </c>
      <c r="N184" s="763">
        <f>N106+N139</f>
        <v>0</v>
      </c>
      <c r="O184" s="763">
        <f>O106+O139</f>
        <v>0</v>
      </c>
      <c r="P184" s="760"/>
      <c r="Q184" s="763">
        <f>Q106+Q139</f>
        <v>0</v>
      </c>
      <c r="R184" s="763">
        <f>R106+R139</f>
        <v>0</v>
      </c>
      <c r="S184" s="763">
        <f>S106+S139</f>
        <v>0</v>
      </c>
    </row>
    <row r="185" spans="1:19">
      <c r="A185" s="767"/>
      <c r="B185" s="754"/>
      <c r="C185" s="760"/>
      <c r="D185" s="760"/>
      <c r="E185" s="760"/>
      <c r="F185" s="760"/>
      <c r="G185" s="760"/>
      <c r="H185" s="760"/>
      <c r="I185" s="760"/>
      <c r="J185" s="760"/>
      <c r="K185" s="760"/>
      <c r="L185" s="760"/>
      <c r="M185" s="760"/>
      <c r="N185" s="760"/>
      <c r="O185" s="760"/>
      <c r="P185" s="760"/>
      <c r="Q185" s="760"/>
      <c r="R185" s="760"/>
      <c r="S185" s="760"/>
    </row>
    <row r="186" spans="1:19">
      <c r="A186" s="767">
        <f>+A184+1</f>
        <v>14</v>
      </c>
      <c r="B186" s="750" t="s">
        <v>680</v>
      </c>
      <c r="C186" s="760"/>
      <c r="D186" s="760"/>
      <c r="E186" s="760"/>
      <c r="F186" s="760"/>
      <c r="G186" s="760"/>
      <c r="H186" s="760"/>
      <c r="I186" s="760"/>
      <c r="J186" s="760"/>
      <c r="K186" s="760"/>
      <c r="L186" s="760"/>
      <c r="M186" s="760"/>
      <c r="N186" s="760"/>
      <c r="O186" s="760"/>
      <c r="P186" s="760"/>
      <c r="Q186" s="760"/>
      <c r="R186" s="760"/>
      <c r="S186" s="760"/>
    </row>
    <row r="187" spans="1:19">
      <c r="A187" s="767"/>
      <c r="B187" s="754"/>
      <c r="C187" s="760"/>
      <c r="D187" s="760"/>
      <c r="E187" s="760"/>
      <c r="F187" s="760"/>
      <c r="G187" s="760"/>
      <c r="H187" s="760"/>
      <c r="I187" s="760"/>
      <c r="J187" s="760"/>
      <c r="K187" s="760"/>
      <c r="L187" s="760"/>
      <c r="M187" s="760"/>
      <c r="N187" s="760"/>
      <c r="O187" s="760"/>
      <c r="P187" s="760"/>
      <c r="Q187" s="760"/>
      <c r="R187" s="760"/>
      <c r="S187" s="760"/>
    </row>
    <row r="188" spans="1:19">
      <c r="A188" s="767">
        <f>+A186+1</f>
        <v>15</v>
      </c>
      <c r="B188" s="750" t="s">
        <v>681</v>
      </c>
      <c r="C188" s="760"/>
      <c r="D188" s="760"/>
      <c r="E188" s="760"/>
      <c r="F188" s="760"/>
      <c r="G188" s="760"/>
      <c r="H188" s="760"/>
      <c r="I188" s="760"/>
      <c r="J188" s="760"/>
      <c r="K188" s="760"/>
      <c r="L188" s="760"/>
      <c r="M188" s="760"/>
      <c r="N188" s="760"/>
      <c r="O188" s="760"/>
      <c r="P188" s="760"/>
      <c r="Q188" s="760"/>
      <c r="R188" s="760"/>
      <c r="S188" s="760"/>
    </row>
    <row r="189" spans="1:19">
      <c r="A189" s="767"/>
      <c r="B189" s="754"/>
      <c r="C189" s="760"/>
      <c r="D189" s="760"/>
      <c r="E189" s="760"/>
      <c r="F189" s="760"/>
      <c r="G189" s="760"/>
      <c r="H189" s="760"/>
      <c r="I189" s="760"/>
      <c r="J189" s="760"/>
      <c r="K189" s="760"/>
      <c r="L189" s="760"/>
      <c r="M189" s="760"/>
      <c r="N189" s="760"/>
      <c r="O189" s="760"/>
      <c r="P189" s="760"/>
      <c r="Q189" s="760"/>
      <c r="R189" s="760"/>
      <c r="S189" s="760"/>
    </row>
    <row r="190" spans="1:19">
      <c r="A190" s="767">
        <f>+A188+1</f>
        <v>16</v>
      </c>
      <c r="B190" s="750" t="s">
        <v>682</v>
      </c>
      <c r="C190" s="760"/>
      <c r="D190" s="760"/>
      <c r="E190" s="760"/>
      <c r="F190" s="760"/>
      <c r="G190" s="760"/>
      <c r="H190" s="760"/>
      <c r="I190" s="760"/>
      <c r="J190" s="760"/>
      <c r="K190" s="760"/>
      <c r="L190" s="760"/>
      <c r="M190" s="760"/>
      <c r="N190" s="760"/>
      <c r="O190" s="760"/>
      <c r="P190" s="760"/>
      <c r="Q190" s="760"/>
      <c r="R190" s="760"/>
      <c r="S190" s="760"/>
    </row>
    <row r="191" spans="1:19">
      <c r="A191" s="767"/>
      <c r="B191" s="754"/>
      <c r="C191" s="760"/>
      <c r="D191" s="760"/>
      <c r="E191" s="760"/>
      <c r="F191" s="760"/>
      <c r="G191" s="760"/>
      <c r="H191" s="760"/>
      <c r="I191" s="760"/>
      <c r="J191" s="760"/>
      <c r="K191" s="760"/>
      <c r="L191" s="760"/>
      <c r="M191" s="760"/>
      <c r="N191" s="760"/>
      <c r="O191" s="760"/>
      <c r="P191" s="760"/>
      <c r="Q191" s="760"/>
      <c r="R191" s="760"/>
      <c r="S191" s="760"/>
    </row>
    <row r="192" spans="1:19">
      <c r="A192" s="767">
        <f>+A190+1</f>
        <v>17</v>
      </c>
      <c r="B192" s="750" t="s">
        <v>683</v>
      </c>
      <c r="C192" s="760"/>
      <c r="D192" s="760"/>
      <c r="E192" s="760"/>
      <c r="F192" s="760"/>
      <c r="G192" s="760"/>
      <c r="H192" s="760"/>
      <c r="I192" s="760"/>
      <c r="J192" s="760"/>
      <c r="K192" s="760"/>
      <c r="L192" s="760"/>
      <c r="M192" s="760"/>
      <c r="N192" s="760"/>
      <c r="O192" s="760"/>
      <c r="P192" s="760"/>
      <c r="Q192" s="760"/>
      <c r="R192" s="760"/>
      <c r="S192" s="760"/>
    </row>
    <row r="193" spans="1:19">
      <c r="A193" s="767">
        <f>A192+1</f>
        <v>18</v>
      </c>
      <c r="B193" s="750" t="s">
        <v>684</v>
      </c>
      <c r="C193" s="760"/>
      <c r="D193" s="760"/>
      <c r="E193" s="760"/>
      <c r="F193" s="760"/>
      <c r="G193" s="760"/>
      <c r="H193" s="760"/>
      <c r="I193" s="760"/>
      <c r="J193" s="760"/>
      <c r="K193" s="760"/>
      <c r="L193" s="760"/>
      <c r="M193" s="760"/>
      <c r="N193" s="760"/>
      <c r="O193" s="760"/>
      <c r="P193" s="760"/>
      <c r="Q193" s="752"/>
      <c r="R193" s="760"/>
      <c r="S193" s="760"/>
    </row>
    <row r="194" spans="1:19">
      <c r="A194" s="783">
        <f>A193+0.01</f>
        <v>18.010000000000002</v>
      </c>
      <c r="B194" s="752"/>
      <c r="C194" s="760">
        <f>SUM(M194:O194)</f>
        <v>0</v>
      </c>
      <c r="D194" s="760">
        <f>SUM(Q194:S194)</f>
        <v>0</v>
      </c>
      <c r="E194" s="760"/>
      <c r="F194" s="760"/>
      <c r="G194" s="760">
        <f>ROUND(SUM(C194:F194)/2,0)</f>
        <v>0</v>
      </c>
      <c r="H194" s="760"/>
      <c r="I194" s="760">
        <f t="shared" ref="I194:K195" si="24">(M194+Q194)/2</f>
        <v>0</v>
      </c>
      <c r="J194" s="760">
        <f t="shared" si="24"/>
        <v>0</v>
      </c>
      <c r="K194" s="760">
        <f t="shared" si="24"/>
        <v>0</v>
      </c>
      <c r="L194" s="760"/>
      <c r="M194" s="752"/>
      <c r="N194" s="752"/>
      <c r="O194" s="752"/>
      <c r="P194" s="760"/>
      <c r="Q194" s="752"/>
      <c r="R194" s="752"/>
      <c r="S194" s="752"/>
    </row>
    <row r="195" spans="1:19">
      <c r="A195" s="783">
        <f>A194+0.01</f>
        <v>18.020000000000003</v>
      </c>
      <c r="B195" s="752"/>
      <c r="C195" s="760">
        <f>SUM(M195:O195)</f>
        <v>0</v>
      </c>
      <c r="D195" s="760">
        <f>SUM(Q195:S195)</f>
        <v>0</v>
      </c>
      <c r="E195" s="760"/>
      <c r="F195" s="760"/>
      <c r="G195" s="760">
        <f>ROUND(SUM(C195:F195)/2,0)</f>
        <v>0</v>
      </c>
      <c r="H195" s="760"/>
      <c r="I195" s="760">
        <f t="shared" si="24"/>
        <v>0</v>
      </c>
      <c r="J195" s="760">
        <f t="shared" si="24"/>
        <v>0</v>
      </c>
      <c r="K195" s="760">
        <f t="shared" si="24"/>
        <v>0</v>
      </c>
      <c r="L195" s="760"/>
      <c r="M195" s="752"/>
      <c r="N195" s="752"/>
      <c r="O195" s="752"/>
      <c r="P195" s="760"/>
      <c r="Q195" s="752"/>
      <c r="R195" s="752"/>
      <c r="S195" s="752"/>
    </row>
    <row r="196" spans="1:19">
      <c r="A196" s="767">
        <f>INT(A195)+1</f>
        <v>19</v>
      </c>
      <c r="C196" s="760"/>
      <c r="D196" s="760"/>
      <c r="E196" s="760"/>
      <c r="F196" s="760"/>
      <c r="G196" s="760"/>
      <c r="H196" s="760"/>
      <c r="I196" s="760"/>
      <c r="J196" s="760"/>
      <c r="K196" s="760"/>
      <c r="L196" s="760"/>
      <c r="M196" s="760"/>
      <c r="N196" s="760"/>
      <c r="O196" s="760"/>
      <c r="P196" s="760"/>
      <c r="Q196" s="760"/>
      <c r="R196" s="760"/>
      <c r="S196" s="760"/>
    </row>
    <row r="197" spans="1:19">
      <c r="A197" s="767">
        <f>A196+1</f>
        <v>20</v>
      </c>
      <c r="B197" s="750" t="s">
        <v>685</v>
      </c>
      <c r="C197" s="762">
        <f>SUM(C194:C196)</f>
        <v>0</v>
      </c>
      <c r="D197" s="762">
        <f>SUM(D194:D196)</f>
        <v>0</v>
      </c>
      <c r="E197" s="762">
        <f>SUM(E194:E196)</f>
        <v>0</v>
      </c>
      <c r="F197" s="762">
        <f>SUM(F194:F196)</f>
        <v>0</v>
      </c>
      <c r="G197" s="762">
        <f>SUM(G194:G196)</f>
        <v>0</v>
      </c>
      <c r="H197" s="760"/>
      <c r="I197" s="762">
        <f>SUM(I194:I196)</f>
        <v>0</v>
      </c>
      <c r="J197" s="762">
        <f>SUM(J194:J196)</f>
        <v>0</v>
      </c>
      <c r="K197" s="762">
        <f>SUM(K194:K196)</f>
        <v>0</v>
      </c>
      <c r="L197" s="760"/>
      <c r="M197" s="762">
        <f>SUM(M194:M196)</f>
        <v>0</v>
      </c>
      <c r="N197" s="762">
        <f>SUM(N194:N196)</f>
        <v>0</v>
      </c>
      <c r="O197" s="762">
        <f>SUM(O194:O196)</f>
        <v>0</v>
      </c>
      <c r="P197" s="760"/>
      <c r="Q197" s="762">
        <f>SUM(Q194:Q196)</f>
        <v>0</v>
      </c>
      <c r="R197" s="762">
        <f>SUM(R194:R196)</f>
        <v>0</v>
      </c>
      <c r="S197" s="762">
        <f>SUM(S194:S196)</f>
        <v>0</v>
      </c>
    </row>
  </sheetData>
  <pageMargins left="0.7" right="0.7" top="0.75" bottom="0.75" header="0.3" footer="0.3"/>
  <pageSetup scale="31" orientation="portrait"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tabSelected="1" view="pageBreakPreview" zoomScale="60" zoomScaleNormal="100" workbookViewId="0">
      <selection activeCell="L25" sqref="L25"/>
    </sheetView>
  </sheetViews>
  <sheetFormatPr defaultRowHeight="12.75"/>
  <cols>
    <col min="1" max="1" width="6" style="750" customWidth="1"/>
    <col min="2" max="2" width="54.5703125" style="750" bestFit="1" customWidth="1"/>
    <col min="3" max="3" width="13.42578125" style="750" bestFit="1" customWidth="1"/>
    <col min="4" max="4" width="12.85546875" style="750" bestFit="1" customWidth="1"/>
    <col min="5" max="6" width="17" style="750" customWidth="1"/>
    <col min="7" max="7" width="15.28515625" style="750" bestFit="1" customWidth="1"/>
    <col min="8" max="8" width="9.140625" style="750"/>
    <col min="9" max="9" width="13.140625" style="750" bestFit="1" customWidth="1"/>
    <col min="10" max="10" width="15" style="750" bestFit="1" customWidth="1"/>
    <col min="11" max="11" width="13.5703125" style="750" bestFit="1" customWidth="1"/>
    <col min="12" max="12" width="9.140625" style="750"/>
    <col min="13" max="13" width="13.140625" style="750" bestFit="1" customWidth="1"/>
    <col min="14" max="14" width="15" style="750" bestFit="1" customWidth="1"/>
    <col min="15" max="15" width="13.5703125" style="750" bestFit="1" customWidth="1"/>
    <col min="16" max="16" width="9.140625" style="750"/>
    <col min="17" max="17" width="13.140625" style="750" bestFit="1" customWidth="1"/>
    <col min="18" max="18" width="15" style="750" bestFit="1" customWidth="1"/>
    <col min="19" max="19" width="13.5703125" style="750" bestFit="1" customWidth="1"/>
    <col min="20" max="16384" width="9.140625" style="750"/>
  </cols>
  <sheetData>
    <row r="1" spans="1:19">
      <c r="A1" s="768"/>
      <c r="B1" s="782" t="str">
        <f>TCOS!F9</f>
        <v>AEP Appalachian Transmission Company</v>
      </c>
      <c r="C1" s="754"/>
      <c r="D1" s="754"/>
      <c r="E1" s="754"/>
      <c r="F1" s="754"/>
      <c r="M1" s="754"/>
      <c r="N1" s="754"/>
      <c r="P1" s="754"/>
      <c r="Q1" s="754"/>
      <c r="R1" s="754"/>
    </row>
    <row r="2" spans="1:19">
      <c r="A2" s="768"/>
      <c r="B2" s="753" t="s">
        <v>686</v>
      </c>
      <c r="C2" s="754"/>
      <c r="D2" s="754"/>
      <c r="E2" s="754"/>
      <c r="F2" s="754"/>
      <c r="M2" s="754"/>
      <c r="N2" s="754"/>
      <c r="P2" s="754"/>
      <c r="Q2" s="754"/>
      <c r="R2" s="754"/>
    </row>
    <row r="3" spans="1:19">
      <c r="A3" s="768"/>
      <c r="B3" s="753" t="str">
        <f>"PERIOD ENDED DECEMBER 31, "&amp;TCOS!L4</f>
        <v>PERIOD ENDED DECEMBER 31, 2026</v>
      </c>
      <c r="C3" s="754"/>
      <c r="D3" s="754"/>
      <c r="E3" s="754"/>
      <c r="F3" s="754"/>
      <c r="G3" s="754"/>
      <c r="H3" s="754"/>
      <c r="I3" s="754"/>
      <c r="J3" s="754"/>
      <c r="K3" s="754"/>
      <c r="L3" s="754"/>
      <c r="M3" s="754"/>
      <c r="N3" s="754"/>
      <c r="O3" s="754"/>
      <c r="P3" s="754"/>
      <c r="Q3" s="754"/>
      <c r="R3" s="754"/>
      <c r="S3" s="754"/>
    </row>
    <row r="4" spans="1:19">
      <c r="A4" s="768"/>
      <c r="B4" s="759"/>
      <c r="C4" s="754"/>
      <c r="D4" s="754"/>
      <c r="E4" s="754"/>
      <c r="F4" s="754"/>
      <c r="G4" s="751" t="s">
        <v>687</v>
      </c>
      <c r="H4" s="754"/>
      <c r="I4" s="754"/>
      <c r="J4" s="754"/>
      <c r="K4" s="754"/>
      <c r="L4" s="754"/>
      <c r="M4" s="754"/>
      <c r="N4" s="754"/>
      <c r="O4" s="754"/>
      <c r="P4" s="754"/>
      <c r="Q4" s="754"/>
      <c r="R4" s="754"/>
      <c r="S4" s="754"/>
    </row>
    <row r="5" spans="1:19">
      <c r="A5" s="768"/>
      <c r="B5" s="754"/>
      <c r="C5" s="754"/>
      <c r="D5" s="754"/>
      <c r="E5" s="754"/>
      <c r="F5" s="754"/>
      <c r="G5" s="754"/>
      <c r="H5" s="754"/>
      <c r="I5" s="754"/>
      <c r="J5" s="754"/>
      <c r="K5" s="754"/>
      <c r="L5" s="754"/>
      <c r="M5" s="754"/>
      <c r="N5" s="754"/>
      <c r="O5" s="754"/>
      <c r="P5" s="754"/>
      <c r="Q5" s="754"/>
      <c r="R5" s="754"/>
      <c r="S5" s="754"/>
    </row>
    <row r="6" spans="1:19">
      <c r="A6" s="768"/>
      <c r="B6" s="754"/>
      <c r="C6" s="754"/>
      <c r="D6" s="754"/>
      <c r="E6" s="754"/>
      <c r="F6" s="754"/>
      <c r="G6" s="754"/>
      <c r="H6" s="751"/>
      <c r="I6" s="751"/>
      <c r="J6" s="751"/>
      <c r="K6" s="751"/>
      <c r="L6" s="751"/>
      <c r="M6" s="754"/>
      <c r="N6" s="754"/>
      <c r="O6" s="754"/>
      <c r="P6" s="754"/>
      <c r="Q6" s="754"/>
      <c r="R6" s="754"/>
      <c r="S6" s="754"/>
    </row>
    <row r="7" spans="1:19">
      <c r="A7" s="768"/>
      <c r="B7" s="754"/>
      <c r="C7" s="754"/>
      <c r="D7" s="754"/>
      <c r="E7" s="754"/>
      <c r="F7" s="754"/>
      <c r="G7" s="754"/>
      <c r="H7" s="754"/>
      <c r="I7" s="754"/>
      <c r="J7" s="754"/>
      <c r="K7" s="754"/>
      <c r="L7" s="754"/>
      <c r="M7" s="754"/>
      <c r="N7" s="754"/>
      <c r="O7" s="754"/>
      <c r="P7" s="754"/>
      <c r="Q7" s="754"/>
      <c r="R7" s="754"/>
      <c r="S7" s="754"/>
    </row>
    <row r="8" spans="1:19">
      <c r="A8" s="768"/>
      <c r="B8" s="755" t="s">
        <v>643</v>
      </c>
      <c r="C8" s="755" t="s">
        <v>644</v>
      </c>
      <c r="D8" s="755" t="s">
        <v>645</v>
      </c>
      <c r="E8" s="755" t="s">
        <v>646</v>
      </c>
      <c r="F8" s="755" t="s">
        <v>647</v>
      </c>
      <c r="G8" s="755" t="s">
        <v>648</v>
      </c>
      <c r="H8" s="755"/>
      <c r="I8" s="755" t="s">
        <v>649</v>
      </c>
      <c r="J8" s="755" t="s">
        <v>650</v>
      </c>
      <c r="K8" s="755" t="s">
        <v>651</v>
      </c>
      <c r="L8" s="755"/>
      <c r="M8" s="755" t="s">
        <v>652</v>
      </c>
      <c r="N8" s="755" t="s">
        <v>653</v>
      </c>
      <c r="O8" s="755" t="s">
        <v>654</v>
      </c>
      <c r="P8" s="754"/>
      <c r="Q8" s="755" t="s">
        <v>655</v>
      </c>
      <c r="R8" s="755" t="s">
        <v>656</v>
      </c>
      <c r="S8" s="755" t="s">
        <v>657</v>
      </c>
    </row>
    <row r="9" spans="1:19">
      <c r="A9" s="768"/>
      <c r="B9" s="754"/>
      <c r="C9" s="754"/>
      <c r="D9" s="754"/>
      <c r="E9" s="754"/>
      <c r="F9" s="754"/>
      <c r="G9" s="754"/>
      <c r="H9" s="754"/>
      <c r="I9" s="754"/>
      <c r="J9" s="754"/>
      <c r="K9" s="754"/>
      <c r="L9" s="754"/>
      <c r="M9" s="754"/>
      <c r="N9" s="754"/>
      <c r="O9" s="754"/>
      <c r="P9" s="754"/>
      <c r="Q9" s="754"/>
      <c r="R9" s="754"/>
      <c r="S9" s="754"/>
    </row>
    <row r="10" spans="1:19">
      <c r="A10" s="768"/>
      <c r="B10" s="754"/>
      <c r="C10" s="756" t="s">
        <v>658</v>
      </c>
      <c r="D10" s="756"/>
      <c r="E10" s="757" t="s">
        <v>659</v>
      </c>
      <c r="F10" s="756"/>
      <c r="G10" s="751" t="s">
        <v>660</v>
      </c>
      <c r="H10" s="751"/>
      <c r="I10" s="756" t="s">
        <v>661</v>
      </c>
      <c r="J10" s="756"/>
      <c r="K10" s="756"/>
      <c r="L10" s="751"/>
      <c r="M10" s="756" t="str">
        <f>"FUNCTIONALIZATION 12/31/"&amp;TCOS!L4-1</f>
        <v>FUNCTIONALIZATION 12/31/2025</v>
      </c>
      <c r="N10" s="756"/>
      <c r="O10" s="756"/>
      <c r="P10" s="754"/>
      <c r="Q10" s="756" t="str">
        <f>"FUNCTIONALIZATION 12/31/"&amp;TCOS!L4</f>
        <v>FUNCTIONALIZATION 12/31/2026</v>
      </c>
      <c r="R10" s="756"/>
      <c r="S10" s="756"/>
    </row>
    <row r="11" spans="1:19">
      <c r="A11" s="768"/>
      <c r="B11" s="754"/>
      <c r="C11" s="758"/>
      <c r="D11" s="758"/>
      <c r="E11" s="754"/>
      <c r="F11" s="754"/>
      <c r="G11" s="751" t="s">
        <v>662</v>
      </c>
      <c r="H11" s="751"/>
      <c r="I11" s="758"/>
      <c r="J11" s="758"/>
      <c r="K11" s="758"/>
      <c r="L11" s="751"/>
      <c r="M11" s="758"/>
      <c r="N11" s="758"/>
      <c r="O11" s="758"/>
      <c r="P11" s="754"/>
      <c r="Q11" s="758"/>
      <c r="R11" s="758"/>
      <c r="S11" s="758"/>
    </row>
    <row r="12" spans="1:19">
      <c r="A12" s="768"/>
      <c r="B12" s="754"/>
      <c r="C12" s="751" t="s">
        <v>663</v>
      </c>
      <c r="D12" s="751" t="s">
        <v>663</v>
      </c>
      <c r="E12" s="751" t="s">
        <v>663</v>
      </c>
      <c r="F12" s="751" t="s">
        <v>663</v>
      </c>
      <c r="G12" s="751" t="s">
        <v>664</v>
      </c>
      <c r="H12" s="751"/>
      <c r="I12" s="754"/>
      <c r="J12" s="754"/>
      <c r="K12" s="754"/>
      <c r="L12" s="751"/>
      <c r="M12" s="754"/>
      <c r="N12" s="754"/>
      <c r="O12" s="754"/>
      <c r="P12" s="754"/>
      <c r="Q12" s="754"/>
      <c r="R12" s="754"/>
      <c r="S12" s="754"/>
    </row>
    <row r="13" spans="1:19">
      <c r="A13" s="768"/>
      <c r="B13" s="755" t="s">
        <v>665</v>
      </c>
      <c r="C13" s="755" t="str">
        <f>"OF 12-31-"&amp;TCOS!L4-1</f>
        <v>OF 12-31-2025</v>
      </c>
      <c r="D13" s="755" t="str">
        <f>"OF 12-31-"&amp;TCOS!L4</f>
        <v>OF 12-31-2026</v>
      </c>
      <c r="E13" s="755" t="str">
        <f>"OF 12-31-"&amp;TCOS!L4-1</f>
        <v>OF 12-31-2025</v>
      </c>
      <c r="F13" s="755" t="str">
        <f>"OF 12-31-"&amp;TCOS!L4</f>
        <v>OF 12-31-2026</v>
      </c>
      <c r="G13" s="755" t="s">
        <v>666</v>
      </c>
      <c r="H13" s="755"/>
      <c r="I13" s="755" t="s">
        <v>667</v>
      </c>
      <c r="J13" s="755" t="s">
        <v>668</v>
      </c>
      <c r="K13" s="755" t="s">
        <v>669</v>
      </c>
      <c r="L13" s="755"/>
      <c r="M13" s="755" t="s">
        <v>667</v>
      </c>
      <c r="N13" s="755" t="s">
        <v>668</v>
      </c>
      <c r="O13" s="755" t="s">
        <v>669</v>
      </c>
      <c r="P13" s="754"/>
      <c r="Q13" s="755" t="s">
        <v>667</v>
      </c>
      <c r="R13" s="755" t="s">
        <v>668</v>
      </c>
      <c r="S13" s="755" t="s">
        <v>669</v>
      </c>
    </row>
    <row r="14" spans="1:19">
      <c r="A14" s="768"/>
      <c r="B14" s="754"/>
      <c r="C14" s="754"/>
      <c r="D14" s="754"/>
      <c r="E14" s="754"/>
      <c r="F14" s="754"/>
      <c r="G14" s="754"/>
      <c r="H14" s="754"/>
      <c r="I14" s="754"/>
      <c r="J14" s="754"/>
      <c r="K14" s="754"/>
      <c r="L14" s="754"/>
      <c r="M14" s="754"/>
      <c r="N14" s="754"/>
      <c r="O14" s="754"/>
      <c r="P14" s="754"/>
      <c r="Q14" s="754"/>
      <c r="R14" s="754"/>
      <c r="S14" s="754"/>
    </row>
    <row r="15" spans="1:19">
      <c r="A15" s="769">
        <v>1</v>
      </c>
      <c r="B15" s="760" t="s">
        <v>688</v>
      </c>
      <c r="C15" s="760"/>
      <c r="D15" s="760"/>
      <c r="E15" s="760"/>
      <c r="F15" s="761"/>
      <c r="G15" s="760"/>
      <c r="H15" s="760"/>
      <c r="I15" s="760"/>
      <c r="J15" s="760"/>
      <c r="K15" s="760"/>
      <c r="L15" s="760"/>
      <c r="M15" s="760"/>
      <c r="N15" s="760"/>
      <c r="O15" s="760"/>
      <c r="P15" s="760"/>
      <c r="Q15" s="760"/>
      <c r="R15" s="760"/>
      <c r="S15" s="760"/>
    </row>
    <row r="16" spans="1:19">
      <c r="A16" s="769"/>
      <c r="B16" s="760"/>
      <c r="C16" s="760"/>
      <c r="D16" s="760"/>
      <c r="E16" s="760"/>
      <c r="F16" s="760"/>
      <c r="G16" s="760"/>
      <c r="H16" s="760"/>
      <c r="I16" s="760"/>
      <c r="J16" s="760"/>
      <c r="K16" s="760"/>
      <c r="L16" s="760"/>
      <c r="M16" s="760"/>
      <c r="N16" s="760"/>
      <c r="O16" s="760"/>
      <c r="P16" s="760"/>
      <c r="Q16" s="760"/>
      <c r="R16" s="760"/>
      <c r="S16" s="760"/>
    </row>
    <row r="17" spans="1:19">
      <c r="A17" s="774">
        <v>2.0099999999999998</v>
      </c>
      <c r="B17" s="752"/>
      <c r="C17" s="760">
        <f t="shared" ref="C17:C80" si="0">SUM(M17:O17)</f>
        <v>0</v>
      </c>
      <c r="D17" s="760">
        <f t="shared" ref="D17:D80" si="1">SUM(Q17:S17)</f>
        <v>0</v>
      </c>
      <c r="E17" s="760"/>
      <c r="F17" s="760"/>
      <c r="G17" s="760">
        <f t="shared" ref="G17:G80" si="2">ROUND(SUM(C17:F17)/2,0)</f>
        <v>0</v>
      </c>
      <c r="H17" s="760"/>
      <c r="I17" s="760">
        <f t="shared" ref="I17:K48" si="3">(M17+Q17)/2</f>
        <v>0</v>
      </c>
      <c r="J17" s="760">
        <f t="shared" si="3"/>
        <v>0</v>
      </c>
      <c r="K17" s="760">
        <f t="shared" si="3"/>
        <v>0</v>
      </c>
      <c r="L17" s="760"/>
      <c r="M17" s="752"/>
      <c r="N17" s="752"/>
      <c r="O17" s="752"/>
      <c r="P17" s="760"/>
      <c r="Q17" s="752"/>
      <c r="R17" s="752"/>
      <c r="S17" s="752"/>
    </row>
    <row r="18" spans="1:19">
      <c r="A18" s="774">
        <f>A17+0.01</f>
        <v>2.0199999999999996</v>
      </c>
      <c r="B18" s="752"/>
      <c r="C18" s="760">
        <f t="shared" si="0"/>
        <v>0</v>
      </c>
      <c r="D18" s="760">
        <f t="shared" si="1"/>
        <v>0</v>
      </c>
      <c r="E18" s="760"/>
      <c r="F18" s="760"/>
      <c r="G18" s="760">
        <f t="shared" si="2"/>
        <v>0</v>
      </c>
      <c r="H18" s="760"/>
      <c r="I18" s="760">
        <f t="shared" si="3"/>
        <v>0</v>
      </c>
      <c r="J18" s="760">
        <f t="shared" si="3"/>
        <v>0</v>
      </c>
      <c r="K18" s="760">
        <f t="shared" si="3"/>
        <v>0</v>
      </c>
      <c r="L18" s="760"/>
      <c r="M18" s="752"/>
      <c r="N18" s="752"/>
      <c r="O18" s="752"/>
      <c r="P18" s="760"/>
      <c r="Q18" s="752"/>
      <c r="R18" s="752"/>
      <c r="S18" s="752"/>
    </row>
    <row r="19" spans="1:19">
      <c r="A19" s="774">
        <f t="shared" ref="A19:A82" si="4">A18+0.01</f>
        <v>2.0299999999999994</v>
      </c>
      <c r="B19" s="752"/>
      <c r="C19" s="760">
        <f t="shared" si="0"/>
        <v>0</v>
      </c>
      <c r="D19" s="760">
        <f t="shared" si="1"/>
        <v>0</v>
      </c>
      <c r="E19" s="760"/>
      <c r="F19" s="760"/>
      <c r="G19" s="760">
        <f t="shared" si="2"/>
        <v>0</v>
      </c>
      <c r="H19" s="760"/>
      <c r="I19" s="760">
        <f t="shared" si="3"/>
        <v>0</v>
      </c>
      <c r="J19" s="760">
        <f t="shared" si="3"/>
        <v>0</v>
      </c>
      <c r="K19" s="760">
        <f t="shared" si="3"/>
        <v>0</v>
      </c>
      <c r="L19" s="760"/>
      <c r="M19" s="752"/>
      <c r="N19" s="752"/>
      <c r="O19" s="752"/>
      <c r="P19" s="760"/>
      <c r="Q19" s="752"/>
      <c r="R19" s="752"/>
      <c r="S19" s="752"/>
    </row>
    <row r="20" spans="1:19">
      <c r="A20" s="774">
        <f t="shared" si="4"/>
        <v>2.0399999999999991</v>
      </c>
      <c r="B20" s="752"/>
      <c r="C20" s="760">
        <f t="shared" si="0"/>
        <v>0</v>
      </c>
      <c r="D20" s="760">
        <f t="shared" si="1"/>
        <v>0</v>
      </c>
      <c r="E20" s="760"/>
      <c r="F20" s="760"/>
      <c r="G20" s="760">
        <f t="shared" si="2"/>
        <v>0</v>
      </c>
      <c r="H20" s="760"/>
      <c r="I20" s="760">
        <f t="shared" si="3"/>
        <v>0</v>
      </c>
      <c r="J20" s="760">
        <f t="shared" si="3"/>
        <v>0</v>
      </c>
      <c r="K20" s="760">
        <f t="shared" si="3"/>
        <v>0</v>
      </c>
      <c r="L20" s="760"/>
      <c r="M20" s="752"/>
      <c r="N20" s="752"/>
      <c r="O20" s="752"/>
      <c r="P20" s="760"/>
      <c r="Q20" s="752"/>
      <c r="R20" s="752"/>
      <c r="S20" s="752"/>
    </row>
    <row r="21" spans="1:19">
      <c r="A21" s="774">
        <f t="shared" si="4"/>
        <v>2.0499999999999989</v>
      </c>
      <c r="B21" s="752"/>
      <c r="C21" s="760">
        <f t="shared" si="0"/>
        <v>0</v>
      </c>
      <c r="D21" s="760">
        <f t="shared" si="1"/>
        <v>0</v>
      </c>
      <c r="E21" s="760"/>
      <c r="F21" s="760"/>
      <c r="G21" s="760">
        <f t="shared" si="2"/>
        <v>0</v>
      </c>
      <c r="H21" s="760"/>
      <c r="I21" s="760">
        <f t="shared" si="3"/>
        <v>0</v>
      </c>
      <c r="J21" s="760">
        <f t="shared" si="3"/>
        <v>0</v>
      </c>
      <c r="K21" s="760">
        <f t="shared" si="3"/>
        <v>0</v>
      </c>
      <c r="L21" s="760"/>
      <c r="M21" s="752"/>
      <c r="N21" s="752"/>
      <c r="O21" s="752"/>
      <c r="P21" s="760"/>
      <c r="Q21" s="752"/>
      <c r="R21" s="752"/>
      <c r="S21" s="752"/>
    </row>
    <row r="22" spans="1:19" hidden="1">
      <c r="A22" s="774">
        <f t="shared" si="4"/>
        <v>2.0599999999999987</v>
      </c>
      <c r="B22" s="752"/>
      <c r="C22" s="760">
        <f t="shared" si="0"/>
        <v>0</v>
      </c>
      <c r="D22" s="760">
        <f t="shared" si="1"/>
        <v>0</v>
      </c>
      <c r="E22" s="760"/>
      <c r="F22" s="760"/>
      <c r="G22" s="760">
        <f t="shared" si="2"/>
        <v>0</v>
      </c>
      <c r="H22" s="760"/>
      <c r="I22" s="760">
        <f t="shared" si="3"/>
        <v>0</v>
      </c>
      <c r="J22" s="760">
        <f t="shared" si="3"/>
        <v>0</v>
      </c>
      <c r="K22" s="760">
        <f t="shared" si="3"/>
        <v>0</v>
      </c>
      <c r="L22" s="760"/>
      <c r="M22" s="752"/>
      <c r="N22" s="752"/>
      <c r="O22" s="752"/>
      <c r="P22" s="760"/>
      <c r="Q22" s="752"/>
      <c r="R22" s="752"/>
      <c r="S22" s="752"/>
    </row>
    <row r="23" spans="1:19" hidden="1">
      <c r="A23" s="774">
        <f t="shared" si="4"/>
        <v>2.0699999999999985</v>
      </c>
      <c r="B23" s="752"/>
      <c r="C23" s="760">
        <f t="shared" si="0"/>
        <v>0</v>
      </c>
      <c r="D23" s="760">
        <f t="shared" si="1"/>
        <v>0</v>
      </c>
      <c r="E23" s="760"/>
      <c r="F23" s="760"/>
      <c r="G23" s="760">
        <f t="shared" si="2"/>
        <v>0</v>
      </c>
      <c r="H23" s="760"/>
      <c r="I23" s="760">
        <f t="shared" si="3"/>
        <v>0</v>
      </c>
      <c r="J23" s="760">
        <f t="shared" si="3"/>
        <v>0</v>
      </c>
      <c r="K23" s="760">
        <f t="shared" si="3"/>
        <v>0</v>
      </c>
      <c r="L23" s="760"/>
      <c r="M23" s="752"/>
      <c r="N23" s="752"/>
      <c r="O23" s="752"/>
      <c r="P23" s="760"/>
      <c r="Q23" s="752"/>
      <c r="R23" s="752"/>
      <c r="S23" s="752"/>
    </row>
    <row r="24" spans="1:19" hidden="1">
      <c r="A24" s="774">
        <f t="shared" si="4"/>
        <v>2.0799999999999983</v>
      </c>
      <c r="B24" s="752"/>
      <c r="C24" s="760">
        <f t="shared" si="0"/>
        <v>0</v>
      </c>
      <c r="D24" s="760">
        <f t="shared" si="1"/>
        <v>0</v>
      </c>
      <c r="E24" s="760"/>
      <c r="F24" s="760"/>
      <c r="G24" s="760">
        <f t="shared" si="2"/>
        <v>0</v>
      </c>
      <c r="H24" s="760"/>
      <c r="I24" s="760">
        <f t="shared" si="3"/>
        <v>0</v>
      </c>
      <c r="J24" s="760">
        <f t="shared" si="3"/>
        <v>0</v>
      </c>
      <c r="K24" s="760">
        <f t="shared" si="3"/>
        <v>0</v>
      </c>
      <c r="L24" s="760"/>
      <c r="M24" s="752"/>
      <c r="N24" s="752"/>
      <c r="O24" s="752"/>
      <c r="P24" s="760"/>
      <c r="Q24" s="752"/>
      <c r="R24" s="752"/>
      <c r="S24" s="752"/>
    </row>
    <row r="25" spans="1:19" hidden="1">
      <c r="A25" s="774">
        <f t="shared" si="4"/>
        <v>2.0899999999999981</v>
      </c>
      <c r="B25" s="752"/>
      <c r="C25" s="760">
        <f t="shared" si="0"/>
        <v>0</v>
      </c>
      <c r="D25" s="760">
        <f t="shared" si="1"/>
        <v>0</v>
      </c>
      <c r="E25" s="760"/>
      <c r="F25" s="760"/>
      <c r="G25" s="760">
        <f t="shared" si="2"/>
        <v>0</v>
      </c>
      <c r="H25" s="760"/>
      <c r="I25" s="760">
        <f t="shared" si="3"/>
        <v>0</v>
      </c>
      <c r="J25" s="760">
        <f t="shared" si="3"/>
        <v>0</v>
      </c>
      <c r="K25" s="760">
        <f t="shared" si="3"/>
        <v>0</v>
      </c>
      <c r="L25" s="760"/>
      <c r="M25" s="752"/>
      <c r="N25" s="752"/>
      <c r="O25" s="752"/>
      <c r="P25" s="760"/>
      <c r="Q25" s="752"/>
      <c r="R25" s="752"/>
      <c r="S25" s="752"/>
    </row>
    <row r="26" spans="1:19" hidden="1">
      <c r="A26" s="774">
        <f t="shared" si="4"/>
        <v>2.0999999999999979</v>
      </c>
      <c r="B26" s="752"/>
      <c r="C26" s="760">
        <f t="shared" si="0"/>
        <v>0</v>
      </c>
      <c r="D26" s="760">
        <f t="shared" si="1"/>
        <v>0</v>
      </c>
      <c r="E26" s="760"/>
      <c r="F26" s="760"/>
      <c r="G26" s="760">
        <f t="shared" si="2"/>
        <v>0</v>
      </c>
      <c r="H26" s="760"/>
      <c r="I26" s="760">
        <f t="shared" si="3"/>
        <v>0</v>
      </c>
      <c r="J26" s="760">
        <f t="shared" si="3"/>
        <v>0</v>
      </c>
      <c r="K26" s="760">
        <f t="shared" si="3"/>
        <v>0</v>
      </c>
      <c r="L26" s="760"/>
      <c r="M26" s="752"/>
      <c r="N26" s="752"/>
      <c r="O26" s="752"/>
      <c r="P26" s="760"/>
      <c r="Q26" s="752"/>
      <c r="R26" s="752"/>
      <c r="S26" s="752"/>
    </row>
    <row r="27" spans="1:19" hidden="1">
      <c r="A27" s="774">
        <f t="shared" si="4"/>
        <v>2.1099999999999977</v>
      </c>
      <c r="B27" s="752"/>
      <c r="C27" s="760">
        <f t="shared" si="0"/>
        <v>0</v>
      </c>
      <c r="D27" s="760">
        <f t="shared" si="1"/>
        <v>0</v>
      </c>
      <c r="E27" s="760"/>
      <c r="F27" s="760"/>
      <c r="G27" s="760">
        <f t="shared" si="2"/>
        <v>0</v>
      </c>
      <c r="H27" s="760"/>
      <c r="I27" s="760">
        <f t="shared" si="3"/>
        <v>0</v>
      </c>
      <c r="J27" s="760">
        <f t="shared" si="3"/>
        <v>0</v>
      </c>
      <c r="K27" s="760">
        <f t="shared" si="3"/>
        <v>0</v>
      </c>
      <c r="L27" s="760"/>
      <c r="M27" s="752"/>
      <c r="N27" s="752"/>
      <c r="O27" s="752"/>
      <c r="P27" s="760"/>
      <c r="Q27" s="752"/>
      <c r="R27" s="752"/>
      <c r="S27" s="752"/>
    </row>
    <row r="28" spans="1:19" hidden="1">
      <c r="A28" s="774">
        <f t="shared" si="4"/>
        <v>2.1199999999999974</v>
      </c>
      <c r="B28" s="752"/>
      <c r="C28" s="760">
        <f t="shared" si="0"/>
        <v>0</v>
      </c>
      <c r="D28" s="760">
        <f t="shared" si="1"/>
        <v>0</v>
      </c>
      <c r="E28" s="760"/>
      <c r="F28" s="760"/>
      <c r="G28" s="760">
        <f t="shared" si="2"/>
        <v>0</v>
      </c>
      <c r="H28" s="760"/>
      <c r="I28" s="760">
        <f t="shared" si="3"/>
        <v>0</v>
      </c>
      <c r="J28" s="760">
        <f t="shared" si="3"/>
        <v>0</v>
      </c>
      <c r="K28" s="760">
        <f t="shared" si="3"/>
        <v>0</v>
      </c>
      <c r="L28" s="760"/>
      <c r="M28" s="752"/>
      <c r="N28" s="752"/>
      <c r="O28" s="752"/>
      <c r="P28" s="760"/>
      <c r="Q28" s="752"/>
      <c r="R28" s="752"/>
      <c r="S28" s="752"/>
    </row>
    <row r="29" spans="1:19" hidden="1">
      <c r="A29" s="774">
        <f t="shared" si="4"/>
        <v>2.1299999999999972</v>
      </c>
      <c r="B29" s="752"/>
      <c r="C29" s="760">
        <f t="shared" si="0"/>
        <v>0</v>
      </c>
      <c r="D29" s="760">
        <f t="shared" si="1"/>
        <v>0</v>
      </c>
      <c r="E29" s="760"/>
      <c r="F29" s="760"/>
      <c r="G29" s="760">
        <f t="shared" si="2"/>
        <v>0</v>
      </c>
      <c r="H29" s="760"/>
      <c r="I29" s="760">
        <f t="shared" si="3"/>
        <v>0</v>
      </c>
      <c r="J29" s="760">
        <f t="shared" si="3"/>
        <v>0</v>
      </c>
      <c r="K29" s="760">
        <f t="shared" si="3"/>
        <v>0</v>
      </c>
      <c r="L29" s="760"/>
      <c r="M29" s="752"/>
      <c r="N29" s="752"/>
      <c r="O29" s="752"/>
      <c r="P29" s="760"/>
      <c r="Q29" s="752"/>
      <c r="R29" s="752"/>
      <c r="S29" s="752"/>
    </row>
    <row r="30" spans="1:19" hidden="1">
      <c r="A30" s="774">
        <f t="shared" si="4"/>
        <v>2.139999999999997</v>
      </c>
      <c r="B30" s="752"/>
      <c r="C30" s="760">
        <f t="shared" si="0"/>
        <v>0</v>
      </c>
      <c r="D30" s="760">
        <f t="shared" si="1"/>
        <v>0</v>
      </c>
      <c r="E30" s="760"/>
      <c r="F30" s="760"/>
      <c r="G30" s="760">
        <f t="shared" si="2"/>
        <v>0</v>
      </c>
      <c r="H30" s="760"/>
      <c r="I30" s="760">
        <f t="shared" si="3"/>
        <v>0</v>
      </c>
      <c r="J30" s="760">
        <f t="shared" si="3"/>
        <v>0</v>
      </c>
      <c r="K30" s="760">
        <f t="shared" si="3"/>
        <v>0</v>
      </c>
      <c r="L30" s="760"/>
      <c r="M30" s="752"/>
      <c r="N30" s="752"/>
      <c r="O30" s="752"/>
      <c r="P30" s="760"/>
      <c r="Q30" s="752"/>
      <c r="R30" s="752"/>
      <c r="S30" s="752"/>
    </row>
    <row r="31" spans="1:19" hidden="1">
      <c r="A31" s="774">
        <f t="shared" si="4"/>
        <v>2.1499999999999968</v>
      </c>
      <c r="B31" s="752"/>
      <c r="C31" s="760">
        <f t="shared" si="0"/>
        <v>0</v>
      </c>
      <c r="D31" s="760">
        <f t="shared" si="1"/>
        <v>0</v>
      </c>
      <c r="E31" s="760"/>
      <c r="F31" s="760"/>
      <c r="G31" s="760">
        <f t="shared" si="2"/>
        <v>0</v>
      </c>
      <c r="H31" s="760"/>
      <c r="I31" s="760">
        <f t="shared" si="3"/>
        <v>0</v>
      </c>
      <c r="J31" s="760">
        <f t="shared" si="3"/>
        <v>0</v>
      </c>
      <c r="K31" s="760">
        <f t="shared" si="3"/>
        <v>0</v>
      </c>
      <c r="L31" s="760"/>
      <c r="M31" s="752"/>
      <c r="N31" s="752"/>
      <c r="O31" s="752"/>
      <c r="P31" s="760"/>
      <c r="Q31" s="752"/>
      <c r="R31" s="752"/>
      <c r="S31" s="752"/>
    </row>
    <row r="32" spans="1:19" hidden="1">
      <c r="A32" s="774">
        <f t="shared" si="4"/>
        <v>2.1599999999999966</v>
      </c>
      <c r="B32" s="752"/>
      <c r="C32" s="760">
        <f t="shared" si="0"/>
        <v>0</v>
      </c>
      <c r="D32" s="760">
        <f t="shared" si="1"/>
        <v>0</v>
      </c>
      <c r="E32" s="760"/>
      <c r="F32" s="760"/>
      <c r="G32" s="760">
        <f t="shared" si="2"/>
        <v>0</v>
      </c>
      <c r="H32" s="760"/>
      <c r="I32" s="760">
        <f t="shared" si="3"/>
        <v>0</v>
      </c>
      <c r="J32" s="760">
        <f t="shared" si="3"/>
        <v>0</v>
      </c>
      <c r="K32" s="760">
        <f t="shared" si="3"/>
        <v>0</v>
      </c>
      <c r="L32" s="760"/>
      <c r="M32" s="752"/>
      <c r="N32" s="752"/>
      <c r="O32" s="752"/>
      <c r="P32" s="760"/>
      <c r="Q32" s="752"/>
      <c r="R32" s="752"/>
      <c r="S32" s="752"/>
    </row>
    <row r="33" spans="1:19" hidden="1">
      <c r="A33" s="774">
        <f t="shared" si="4"/>
        <v>2.1699999999999964</v>
      </c>
      <c r="B33" s="752"/>
      <c r="C33" s="760">
        <f t="shared" si="0"/>
        <v>0</v>
      </c>
      <c r="D33" s="760">
        <f t="shared" si="1"/>
        <v>0</v>
      </c>
      <c r="E33" s="760"/>
      <c r="F33" s="760"/>
      <c r="G33" s="760">
        <f t="shared" si="2"/>
        <v>0</v>
      </c>
      <c r="H33" s="760"/>
      <c r="I33" s="760">
        <f t="shared" si="3"/>
        <v>0</v>
      </c>
      <c r="J33" s="760">
        <f t="shared" si="3"/>
        <v>0</v>
      </c>
      <c r="K33" s="760">
        <f t="shared" si="3"/>
        <v>0</v>
      </c>
      <c r="L33" s="760"/>
      <c r="M33" s="752"/>
      <c r="N33" s="752"/>
      <c r="O33" s="752"/>
      <c r="P33" s="760"/>
      <c r="Q33" s="752"/>
      <c r="R33" s="752"/>
      <c r="S33" s="752"/>
    </row>
    <row r="34" spans="1:19" hidden="1">
      <c r="A34" s="774">
        <f t="shared" si="4"/>
        <v>2.1799999999999962</v>
      </c>
      <c r="B34" s="752"/>
      <c r="C34" s="760">
        <f t="shared" si="0"/>
        <v>0</v>
      </c>
      <c r="D34" s="760">
        <f t="shared" si="1"/>
        <v>0</v>
      </c>
      <c r="E34" s="760"/>
      <c r="F34" s="760"/>
      <c r="G34" s="760">
        <f t="shared" si="2"/>
        <v>0</v>
      </c>
      <c r="H34" s="760"/>
      <c r="I34" s="760">
        <f t="shared" si="3"/>
        <v>0</v>
      </c>
      <c r="J34" s="760">
        <f t="shared" si="3"/>
        <v>0</v>
      </c>
      <c r="K34" s="760">
        <f t="shared" si="3"/>
        <v>0</v>
      </c>
      <c r="L34" s="760"/>
      <c r="M34" s="752"/>
      <c r="N34" s="752"/>
      <c r="O34" s="752"/>
      <c r="P34" s="760"/>
      <c r="Q34" s="752"/>
      <c r="R34" s="752"/>
      <c r="S34" s="752"/>
    </row>
    <row r="35" spans="1:19" hidden="1">
      <c r="A35" s="774">
        <f t="shared" si="4"/>
        <v>2.1899999999999959</v>
      </c>
      <c r="B35" s="752"/>
      <c r="C35" s="760">
        <f t="shared" si="0"/>
        <v>0</v>
      </c>
      <c r="D35" s="760">
        <f t="shared" si="1"/>
        <v>0</v>
      </c>
      <c r="E35" s="760"/>
      <c r="F35" s="760"/>
      <c r="G35" s="760">
        <f t="shared" si="2"/>
        <v>0</v>
      </c>
      <c r="H35" s="760"/>
      <c r="I35" s="760">
        <f t="shared" si="3"/>
        <v>0</v>
      </c>
      <c r="J35" s="760">
        <f t="shared" si="3"/>
        <v>0</v>
      </c>
      <c r="K35" s="760">
        <f t="shared" si="3"/>
        <v>0</v>
      </c>
      <c r="L35" s="760"/>
      <c r="M35" s="752"/>
      <c r="N35" s="752"/>
      <c r="O35" s="752"/>
      <c r="P35" s="760"/>
      <c r="Q35" s="752"/>
      <c r="R35" s="752"/>
      <c r="S35" s="752"/>
    </row>
    <row r="36" spans="1:19" hidden="1">
      <c r="A36" s="774">
        <f t="shared" si="4"/>
        <v>2.1999999999999957</v>
      </c>
      <c r="B36" s="752"/>
      <c r="C36" s="760">
        <f t="shared" si="0"/>
        <v>0</v>
      </c>
      <c r="D36" s="760">
        <f t="shared" si="1"/>
        <v>0</v>
      </c>
      <c r="E36" s="760"/>
      <c r="F36" s="760"/>
      <c r="G36" s="760">
        <f t="shared" si="2"/>
        <v>0</v>
      </c>
      <c r="H36" s="760"/>
      <c r="I36" s="760">
        <f t="shared" si="3"/>
        <v>0</v>
      </c>
      <c r="J36" s="760">
        <f t="shared" si="3"/>
        <v>0</v>
      </c>
      <c r="K36" s="760">
        <f t="shared" si="3"/>
        <v>0</v>
      </c>
      <c r="L36" s="760"/>
      <c r="M36" s="752"/>
      <c r="N36" s="752"/>
      <c r="O36" s="752"/>
      <c r="P36" s="760"/>
      <c r="Q36" s="752"/>
      <c r="R36" s="752"/>
      <c r="S36" s="752"/>
    </row>
    <row r="37" spans="1:19" hidden="1">
      <c r="A37" s="774">
        <f t="shared" si="4"/>
        <v>2.2099999999999955</v>
      </c>
      <c r="B37" s="752"/>
      <c r="C37" s="760">
        <f t="shared" si="0"/>
        <v>0</v>
      </c>
      <c r="D37" s="760">
        <f t="shared" si="1"/>
        <v>0</v>
      </c>
      <c r="E37" s="760"/>
      <c r="F37" s="760"/>
      <c r="G37" s="760">
        <f t="shared" si="2"/>
        <v>0</v>
      </c>
      <c r="H37" s="760"/>
      <c r="I37" s="760">
        <f t="shared" si="3"/>
        <v>0</v>
      </c>
      <c r="J37" s="760">
        <f t="shared" si="3"/>
        <v>0</v>
      </c>
      <c r="K37" s="760">
        <f t="shared" si="3"/>
        <v>0</v>
      </c>
      <c r="L37" s="760"/>
      <c r="M37" s="752"/>
      <c r="N37" s="752"/>
      <c r="O37" s="752"/>
      <c r="P37" s="760"/>
      <c r="Q37" s="752"/>
      <c r="R37" s="752"/>
      <c r="S37" s="752"/>
    </row>
    <row r="38" spans="1:19" hidden="1">
      <c r="A38" s="774">
        <f t="shared" si="4"/>
        <v>2.2199999999999953</v>
      </c>
      <c r="B38" s="752"/>
      <c r="C38" s="760">
        <f t="shared" si="0"/>
        <v>0</v>
      </c>
      <c r="D38" s="760">
        <f t="shared" si="1"/>
        <v>0</v>
      </c>
      <c r="E38" s="760"/>
      <c r="F38" s="760"/>
      <c r="G38" s="760">
        <f t="shared" si="2"/>
        <v>0</v>
      </c>
      <c r="H38" s="760"/>
      <c r="I38" s="760">
        <f t="shared" si="3"/>
        <v>0</v>
      </c>
      <c r="J38" s="760">
        <f t="shared" si="3"/>
        <v>0</v>
      </c>
      <c r="K38" s="760">
        <f t="shared" si="3"/>
        <v>0</v>
      </c>
      <c r="L38" s="760"/>
      <c r="M38" s="752"/>
      <c r="N38" s="752"/>
      <c r="O38" s="752"/>
      <c r="P38" s="760"/>
      <c r="Q38" s="752"/>
      <c r="R38" s="752"/>
      <c r="S38" s="752"/>
    </row>
    <row r="39" spans="1:19" hidden="1">
      <c r="A39" s="774">
        <f t="shared" si="4"/>
        <v>2.2299999999999951</v>
      </c>
      <c r="B39" s="752"/>
      <c r="C39" s="760">
        <f t="shared" si="0"/>
        <v>0</v>
      </c>
      <c r="D39" s="760">
        <f t="shared" si="1"/>
        <v>0</v>
      </c>
      <c r="E39" s="760"/>
      <c r="F39" s="760"/>
      <c r="G39" s="760">
        <f t="shared" si="2"/>
        <v>0</v>
      </c>
      <c r="H39" s="760"/>
      <c r="I39" s="760">
        <f t="shared" si="3"/>
        <v>0</v>
      </c>
      <c r="J39" s="760">
        <f t="shared" si="3"/>
        <v>0</v>
      </c>
      <c r="K39" s="760">
        <f t="shared" si="3"/>
        <v>0</v>
      </c>
      <c r="L39" s="760"/>
      <c r="M39" s="752"/>
      <c r="N39" s="752"/>
      <c r="O39" s="752"/>
      <c r="P39" s="760"/>
      <c r="Q39" s="752"/>
      <c r="R39" s="752"/>
      <c r="S39" s="752"/>
    </row>
    <row r="40" spans="1:19" hidden="1">
      <c r="A40" s="774">
        <f t="shared" si="4"/>
        <v>2.2399999999999949</v>
      </c>
      <c r="B40" s="752"/>
      <c r="C40" s="760">
        <f t="shared" si="0"/>
        <v>0</v>
      </c>
      <c r="D40" s="760">
        <f t="shared" si="1"/>
        <v>0</v>
      </c>
      <c r="E40" s="760"/>
      <c r="F40" s="760"/>
      <c r="G40" s="760">
        <f t="shared" si="2"/>
        <v>0</v>
      </c>
      <c r="H40" s="760"/>
      <c r="I40" s="760">
        <f t="shared" si="3"/>
        <v>0</v>
      </c>
      <c r="J40" s="760">
        <f t="shared" si="3"/>
        <v>0</v>
      </c>
      <c r="K40" s="760">
        <f t="shared" si="3"/>
        <v>0</v>
      </c>
      <c r="L40" s="760"/>
      <c r="M40" s="752"/>
      <c r="N40" s="752"/>
      <c r="O40" s="752"/>
      <c r="P40" s="760"/>
      <c r="Q40" s="752"/>
      <c r="R40" s="752"/>
      <c r="S40" s="752"/>
    </row>
    <row r="41" spans="1:19" hidden="1">
      <c r="A41" s="774">
        <f t="shared" si="4"/>
        <v>2.2499999999999947</v>
      </c>
      <c r="B41" s="752"/>
      <c r="C41" s="760">
        <f t="shared" si="0"/>
        <v>0</v>
      </c>
      <c r="D41" s="760">
        <f t="shared" si="1"/>
        <v>0</v>
      </c>
      <c r="E41" s="760"/>
      <c r="F41" s="760"/>
      <c r="G41" s="760">
        <f t="shared" si="2"/>
        <v>0</v>
      </c>
      <c r="H41" s="760"/>
      <c r="I41" s="760">
        <f t="shared" si="3"/>
        <v>0</v>
      </c>
      <c r="J41" s="760">
        <f t="shared" si="3"/>
        <v>0</v>
      </c>
      <c r="K41" s="760">
        <f t="shared" si="3"/>
        <v>0</v>
      </c>
      <c r="L41" s="760"/>
      <c r="M41" s="752"/>
      <c r="N41" s="752"/>
      <c r="O41" s="752"/>
      <c r="P41" s="760"/>
      <c r="Q41" s="752"/>
      <c r="R41" s="752"/>
      <c r="S41" s="752"/>
    </row>
    <row r="42" spans="1:19" hidden="1">
      <c r="A42" s="774">
        <f t="shared" si="4"/>
        <v>2.2599999999999945</v>
      </c>
      <c r="B42" s="752"/>
      <c r="C42" s="760">
        <f t="shared" si="0"/>
        <v>0</v>
      </c>
      <c r="D42" s="760">
        <f t="shared" si="1"/>
        <v>0</v>
      </c>
      <c r="E42" s="760"/>
      <c r="F42" s="760"/>
      <c r="G42" s="760">
        <f t="shared" si="2"/>
        <v>0</v>
      </c>
      <c r="H42" s="760"/>
      <c r="I42" s="760">
        <f t="shared" si="3"/>
        <v>0</v>
      </c>
      <c r="J42" s="760">
        <f t="shared" si="3"/>
        <v>0</v>
      </c>
      <c r="K42" s="760">
        <f t="shared" si="3"/>
        <v>0</v>
      </c>
      <c r="L42" s="760"/>
      <c r="M42" s="752"/>
      <c r="N42" s="752"/>
      <c r="O42" s="752"/>
      <c r="P42" s="760"/>
      <c r="Q42" s="752"/>
      <c r="R42" s="752"/>
      <c r="S42" s="752"/>
    </row>
    <row r="43" spans="1:19" hidden="1">
      <c r="A43" s="774">
        <f t="shared" si="4"/>
        <v>2.2699999999999942</v>
      </c>
      <c r="B43" s="752"/>
      <c r="C43" s="760">
        <f t="shared" si="0"/>
        <v>0</v>
      </c>
      <c r="D43" s="760">
        <f t="shared" si="1"/>
        <v>0</v>
      </c>
      <c r="E43" s="760"/>
      <c r="F43" s="760"/>
      <c r="G43" s="760">
        <f t="shared" si="2"/>
        <v>0</v>
      </c>
      <c r="H43" s="760"/>
      <c r="I43" s="760">
        <f t="shared" si="3"/>
        <v>0</v>
      </c>
      <c r="J43" s="760">
        <f t="shared" si="3"/>
        <v>0</v>
      </c>
      <c r="K43" s="760">
        <f t="shared" si="3"/>
        <v>0</v>
      </c>
      <c r="L43" s="760"/>
      <c r="M43" s="752"/>
      <c r="N43" s="752"/>
      <c r="O43" s="752"/>
      <c r="P43" s="760"/>
      <c r="Q43" s="752"/>
      <c r="R43" s="752"/>
      <c r="S43" s="752"/>
    </row>
    <row r="44" spans="1:19" hidden="1">
      <c r="A44" s="774">
        <f t="shared" si="4"/>
        <v>2.279999999999994</v>
      </c>
      <c r="B44" s="752"/>
      <c r="C44" s="760">
        <f t="shared" si="0"/>
        <v>0</v>
      </c>
      <c r="D44" s="760">
        <f t="shared" si="1"/>
        <v>0</v>
      </c>
      <c r="E44" s="760"/>
      <c r="F44" s="760"/>
      <c r="G44" s="760">
        <f t="shared" si="2"/>
        <v>0</v>
      </c>
      <c r="H44" s="760"/>
      <c r="I44" s="760">
        <f t="shared" si="3"/>
        <v>0</v>
      </c>
      <c r="J44" s="760">
        <f t="shared" si="3"/>
        <v>0</v>
      </c>
      <c r="K44" s="760">
        <f t="shared" si="3"/>
        <v>0</v>
      </c>
      <c r="L44" s="760"/>
      <c r="M44" s="752"/>
      <c r="N44" s="752"/>
      <c r="O44" s="752"/>
      <c r="P44" s="760"/>
      <c r="Q44" s="752"/>
      <c r="R44" s="752"/>
      <c r="S44" s="752"/>
    </row>
    <row r="45" spans="1:19" hidden="1">
      <c r="A45" s="774">
        <f t="shared" si="4"/>
        <v>2.2899999999999938</v>
      </c>
      <c r="B45" s="752"/>
      <c r="C45" s="760">
        <f t="shared" si="0"/>
        <v>0</v>
      </c>
      <c r="D45" s="760">
        <f t="shared" si="1"/>
        <v>0</v>
      </c>
      <c r="E45" s="760"/>
      <c r="F45" s="760"/>
      <c r="G45" s="760">
        <f t="shared" si="2"/>
        <v>0</v>
      </c>
      <c r="H45" s="760"/>
      <c r="I45" s="760">
        <f t="shared" si="3"/>
        <v>0</v>
      </c>
      <c r="J45" s="760">
        <f t="shared" si="3"/>
        <v>0</v>
      </c>
      <c r="K45" s="760">
        <f t="shared" si="3"/>
        <v>0</v>
      </c>
      <c r="L45" s="760"/>
      <c r="M45" s="752"/>
      <c r="N45" s="752"/>
      <c r="O45" s="752"/>
      <c r="P45" s="760"/>
      <c r="Q45" s="752"/>
      <c r="R45" s="752"/>
      <c r="S45" s="752"/>
    </row>
    <row r="46" spans="1:19" hidden="1">
      <c r="A46" s="774">
        <f t="shared" si="4"/>
        <v>2.2999999999999936</v>
      </c>
      <c r="B46" s="752"/>
      <c r="C46" s="760">
        <f t="shared" si="0"/>
        <v>0</v>
      </c>
      <c r="D46" s="760">
        <f t="shared" si="1"/>
        <v>0</v>
      </c>
      <c r="E46" s="760"/>
      <c r="F46" s="760"/>
      <c r="G46" s="760">
        <f t="shared" si="2"/>
        <v>0</v>
      </c>
      <c r="H46" s="760"/>
      <c r="I46" s="760">
        <f t="shared" si="3"/>
        <v>0</v>
      </c>
      <c r="J46" s="760">
        <f t="shared" si="3"/>
        <v>0</v>
      </c>
      <c r="K46" s="760">
        <f t="shared" si="3"/>
        <v>0</v>
      </c>
      <c r="L46" s="760"/>
      <c r="M46" s="752"/>
      <c r="N46" s="752"/>
      <c r="O46" s="752"/>
      <c r="P46" s="760"/>
      <c r="Q46" s="752"/>
      <c r="R46" s="752"/>
      <c r="S46" s="752"/>
    </row>
    <row r="47" spans="1:19" hidden="1">
      <c r="A47" s="774">
        <f t="shared" si="4"/>
        <v>2.3099999999999934</v>
      </c>
      <c r="B47" s="752"/>
      <c r="C47" s="760">
        <f t="shared" si="0"/>
        <v>0</v>
      </c>
      <c r="D47" s="760">
        <f t="shared" si="1"/>
        <v>0</v>
      </c>
      <c r="E47" s="760"/>
      <c r="F47" s="760"/>
      <c r="G47" s="760">
        <f t="shared" si="2"/>
        <v>0</v>
      </c>
      <c r="H47" s="760"/>
      <c r="I47" s="760">
        <f t="shared" si="3"/>
        <v>0</v>
      </c>
      <c r="J47" s="760">
        <f t="shared" si="3"/>
        <v>0</v>
      </c>
      <c r="K47" s="760">
        <f t="shared" si="3"/>
        <v>0</v>
      </c>
      <c r="L47" s="760"/>
      <c r="M47" s="752"/>
      <c r="N47" s="752"/>
      <c r="O47" s="752"/>
      <c r="P47" s="760"/>
      <c r="Q47" s="752"/>
      <c r="R47" s="752"/>
      <c r="S47" s="752"/>
    </row>
    <row r="48" spans="1:19" hidden="1">
      <c r="A48" s="774">
        <f t="shared" si="4"/>
        <v>2.3199999999999932</v>
      </c>
      <c r="B48" s="752"/>
      <c r="C48" s="760">
        <f t="shared" si="0"/>
        <v>0</v>
      </c>
      <c r="D48" s="760">
        <f t="shared" si="1"/>
        <v>0</v>
      </c>
      <c r="E48" s="760"/>
      <c r="F48" s="760"/>
      <c r="G48" s="760">
        <f t="shared" si="2"/>
        <v>0</v>
      </c>
      <c r="H48" s="760"/>
      <c r="I48" s="760">
        <f t="shared" si="3"/>
        <v>0</v>
      </c>
      <c r="J48" s="760">
        <f t="shared" si="3"/>
        <v>0</v>
      </c>
      <c r="K48" s="760">
        <f t="shared" si="3"/>
        <v>0</v>
      </c>
      <c r="L48" s="760"/>
      <c r="M48" s="752"/>
      <c r="N48" s="752"/>
      <c r="O48" s="752"/>
      <c r="P48" s="760"/>
      <c r="Q48" s="752"/>
      <c r="R48" s="752"/>
      <c r="S48" s="752"/>
    </row>
    <row r="49" spans="1:19" hidden="1">
      <c r="A49" s="774">
        <f t="shared" si="4"/>
        <v>2.329999999999993</v>
      </c>
      <c r="B49" s="752"/>
      <c r="C49" s="760">
        <f t="shared" si="0"/>
        <v>0</v>
      </c>
      <c r="D49" s="760">
        <f t="shared" si="1"/>
        <v>0</v>
      </c>
      <c r="E49" s="760"/>
      <c r="F49" s="760"/>
      <c r="G49" s="760">
        <f t="shared" si="2"/>
        <v>0</v>
      </c>
      <c r="H49" s="760"/>
      <c r="I49" s="760">
        <f t="shared" ref="I49:K80" si="5">(M49+Q49)/2</f>
        <v>0</v>
      </c>
      <c r="J49" s="760">
        <f t="shared" si="5"/>
        <v>0</v>
      </c>
      <c r="K49" s="760">
        <f t="shared" si="5"/>
        <v>0</v>
      </c>
      <c r="L49" s="760"/>
      <c r="M49" s="752"/>
      <c r="N49" s="752"/>
      <c r="O49" s="752"/>
      <c r="P49" s="760"/>
      <c r="Q49" s="752"/>
      <c r="R49" s="752"/>
      <c r="S49" s="752"/>
    </row>
    <row r="50" spans="1:19" hidden="1">
      <c r="A50" s="774">
        <f t="shared" si="4"/>
        <v>2.3399999999999928</v>
      </c>
      <c r="B50" s="752"/>
      <c r="C50" s="760">
        <f t="shared" si="0"/>
        <v>0</v>
      </c>
      <c r="D50" s="760">
        <f t="shared" si="1"/>
        <v>0</v>
      </c>
      <c r="E50" s="760"/>
      <c r="F50" s="760"/>
      <c r="G50" s="760">
        <f t="shared" si="2"/>
        <v>0</v>
      </c>
      <c r="H50" s="760"/>
      <c r="I50" s="760">
        <f t="shared" si="5"/>
        <v>0</v>
      </c>
      <c r="J50" s="760">
        <f t="shared" si="5"/>
        <v>0</v>
      </c>
      <c r="K50" s="760">
        <f t="shared" si="5"/>
        <v>0</v>
      </c>
      <c r="L50" s="760"/>
      <c r="M50" s="752"/>
      <c r="N50" s="752"/>
      <c r="O50" s="752"/>
      <c r="P50" s="760"/>
      <c r="Q50" s="752"/>
      <c r="R50" s="752"/>
      <c r="S50" s="752"/>
    </row>
    <row r="51" spans="1:19" hidden="1">
      <c r="A51" s="774">
        <f t="shared" si="4"/>
        <v>2.3499999999999925</v>
      </c>
      <c r="B51" s="752"/>
      <c r="C51" s="760">
        <f t="shared" si="0"/>
        <v>0</v>
      </c>
      <c r="D51" s="760">
        <f t="shared" si="1"/>
        <v>0</v>
      </c>
      <c r="E51" s="760"/>
      <c r="F51" s="760"/>
      <c r="G51" s="760">
        <f t="shared" si="2"/>
        <v>0</v>
      </c>
      <c r="H51" s="760"/>
      <c r="I51" s="760">
        <f t="shared" si="5"/>
        <v>0</v>
      </c>
      <c r="J51" s="760">
        <f t="shared" si="5"/>
        <v>0</v>
      </c>
      <c r="K51" s="760">
        <f t="shared" si="5"/>
        <v>0</v>
      </c>
      <c r="L51" s="760"/>
      <c r="M51" s="752"/>
      <c r="N51" s="752"/>
      <c r="O51" s="752"/>
      <c r="P51" s="760"/>
      <c r="Q51" s="752"/>
      <c r="R51" s="752"/>
      <c r="S51" s="752"/>
    </row>
    <row r="52" spans="1:19" hidden="1">
      <c r="A52" s="774">
        <f t="shared" si="4"/>
        <v>2.3599999999999923</v>
      </c>
      <c r="B52" s="752"/>
      <c r="C52" s="760">
        <f t="shared" si="0"/>
        <v>0</v>
      </c>
      <c r="D52" s="760">
        <f t="shared" si="1"/>
        <v>0</v>
      </c>
      <c r="E52" s="760"/>
      <c r="F52" s="760"/>
      <c r="G52" s="760">
        <f t="shared" si="2"/>
        <v>0</v>
      </c>
      <c r="H52" s="760"/>
      <c r="I52" s="760">
        <f t="shared" si="5"/>
        <v>0</v>
      </c>
      <c r="J52" s="760">
        <f t="shared" si="5"/>
        <v>0</v>
      </c>
      <c r="K52" s="760">
        <f t="shared" si="5"/>
        <v>0</v>
      </c>
      <c r="L52" s="760"/>
      <c r="M52" s="752"/>
      <c r="N52" s="752"/>
      <c r="O52" s="752"/>
      <c r="P52" s="760"/>
      <c r="Q52" s="752"/>
      <c r="R52" s="752"/>
      <c r="S52" s="752"/>
    </row>
    <row r="53" spans="1:19" hidden="1">
      <c r="A53" s="774">
        <f t="shared" si="4"/>
        <v>2.3699999999999921</v>
      </c>
      <c r="B53" s="752"/>
      <c r="C53" s="760">
        <f t="shared" si="0"/>
        <v>0</v>
      </c>
      <c r="D53" s="760">
        <f t="shared" si="1"/>
        <v>0</v>
      </c>
      <c r="E53" s="760"/>
      <c r="F53" s="760"/>
      <c r="G53" s="760">
        <f t="shared" si="2"/>
        <v>0</v>
      </c>
      <c r="H53" s="760"/>
      <c r="I53" s="760">
        <f t="shared" si="5"/>
        <v>0</v>
      </c>
      <c r="J53" s="760">
        <f t="shared" si="5"/>
        <v>0</v>
      </c>
      <c r="K53" s="760">
        <f t="shared" si="5"/>
        <v>0</v>
      </c>
      <c r="L53" s="760"/>
      <c r="M53" s="752"/>
      <c r="N53" s="752"/>
      <c r="O53" s="752"/>
      <c r="P53" s="760"/>
      <c r="Q53" s="752"/>
      <c r="R53" s="752"/>
      <c r="S53" s="752"/>
    </row>
    <row r="54" spans="1:19" hidden="1">
      <c r="A54" s="774">
        <f t="shared" si="4"/>
        <v>2.3799999999999919</v>
      </c>
      <c r="B54" s="752"/>
      <c r="C54" s="760">
        <f t="shared" si="0"/>
        <v>0</v>
      </c>
      <c r="D54" s="760">
        <f t="shared" si="1"/>
        <v>0</v>
      </c>
      <c r="E54" s="760"/>
      <c r="F54" s="760"/>
      <c r="G54" s="760">
        <f t="shared" si="2"/>
        <v>0</v>
      </c>
      <c r="H54" s="760"/>
      <c r="I54" s="760">
        <f t="shared" si="5"/>
        <v>0</v>
      </c>
      <c r="J54" s="760">
        <f t="shared" si="5"/>
        <v>0</v>
      </c>
      <c r="K54" s="760">
        <f t="shared" si="5"/>
        <v>0</v>
      </c>
      <c r="L54" s="760"/>
      <c r="M54" s="752"/>
      <c r="N54" s="752"/>
      <c r="O54" s="752"/>
      <c r="P54" s="760"/>
      <c r="Q54" s="752"/>
      <c r="R54" s="752"/>
      <c r="S54" s="752"/>
    </row>
    <row r="55" spans="1:19" hidden="1">
      <c r="A55" s="774">
        <f t="shared" si="4"/>
        <v>2.3899999999999917</v>
      </c>
      <c r="B55" s="752"/>
      <c r="C55" s="760">
        <f t="shared" si="0"/>
        <v>0</v>
      </c>
      <c r="D55" s="760">
        <f t="shared" si="1"/>
        <v>0</v>
      </c>
      <c r="E55" s="760"/>
      <c r="F55" s="760"/>
      <c r="G55" s="760">
        <f t="shared" si="2"/>
        <v>0</v>
      </c>
      <c r="H55" s="760"/>
      <c r="I55" s="760">
        <f t="shared" si="5"/>
        <v>0</v>
      </c>
      <c r="J55" s="760">
        <f t="shared" si="5"/>
        <v>0</v>
      </c>
      <c r="K55" s="760">
        <f t="shared" si="5"/>
        <v>0</v>
      </c>
      <c r="L55" s="760"/>
      <c r="M55" s="752"/>
      <c r="N55" s="752"/>
      <c r="O55" s="752"/>
      <c r="P55" s="760"/>
      <c r="Q55" s="752"/>
      <c r="R55" s="752"/>
      <c r="S55" s="752"/>
    </row>
    <row r="56" spans="1:19" hidden="1">
      <c r="A56" s="774">
        <f t="shared" si="4"/>
        <v>2.3999999999999915</v>
      </c>
      <c r="B56" s="752"/>
      <c r="C56" s="760">
        <f t="shared" si="0"/>
        <v>0</v>
      </c>
      <c r="D56" s="760">
        <f t="shared" si="1"/>
        <v>0</v>
      </c>
      <c r="E56" s="760"/>
      <c r="F56" s="760"/>
      <c r="G56" s="760">
        <f t="shared" si="2"/>
        <v>0</v>
      </c>
      <c r="H56" s="760"/>
      <c r="I56" s="760">
        <f t="shared" si="5"/>
        <v>0</v>
      </c>
      <c r="J56" s="760">
        <f t="shared" si="5"/>
        <v>0</v>
      </c>
      <c r="K56" s="760">
        <f t="shared" si="5"/>
        <v>0</v>
      </c>
      <c r="L56" s="760"/>
      <c r="M56" s="752"/>
      <c r="N56" s="752"/>
      <c r="O56" s="752"/>
      <c r="P56" s="760"/>
      <c r="Q56" s="752"/>
      <c r="R56" s="752"/>
      <c r="S56" s="752"/>
    </row>
    <row r="57" spans="1:19" hidden="1">
      <c r="A57" s="774">
        <f t="shared" si="4"/>
        <v>2.4099999999999913</v>
      </c>
      <c r="B57" s="752"/>
      <c r="C57" s="760">
        <f t="shared" si="0"/>
        <v>0</v>
      </c>
      <c r="D57" s="760">
        <f t="shared" si="1"/>
        <v>0</v>
      </c>
      <c r="E57" s="760"/>
      <c r="F57" s="760"/>
      <c r="G57" s="760">
        <f t="shared" si="2"/>
        <v>0</v>
      </c>
      <c r="H57" s="760"/>
      <c r="I57" s="760">
        <f t="shared" si="5"/>
        <v>0</v>
      </c>
      <c r="J57" s="760">
        <f t="shared" si="5"/>
        <v>0</v>
      </c>
      <c r="K57" s="760">
        <f t="shared" si="5"/>
        <v>0</v>
      </c>
      <c r="L57" s="760"/>
      <c r="M57" s="752"/>
      <c r="N57" s="752"/>
      <c r="O57" s="752"/>
      <c r="P57" s="760"/>
      <c r="Q57" s="752"/>
      <c r="R57" s="752"/>
      <c r="S57" s="752"/>
    </row>
    <row r="58" spans="1:19" hidden="1">
      <c r="A58" s="774">
        <f t="shared" si="4"/>
        <v>2.419999999999991</v>
      </c>
      <c r="B58" s="752"/>
      <c r="C58" s="760">
        <f t="shared" si="0"/>
        <v>0</v>
      </c>
      <c r="D58" s="760">
        <f t="shared" si="1"/>
        <v>0</v>
      </c>
      <c r="E58" s="760"/>
      <c r="F58" s="760"/>
      <c r="G58" s="760">
        <f t="shared" si="2"/>
        <v>0</v>
      </c>
      <c r="H58" s="760"/>
      <c r="I58" s="760">
        <f t="shared" si="5"/>
        <v>0</v>
      </c>
      <c r="J58" s="760">
        <f t="shared" si="5"/>
        <v>0</v>
      </c>
      <c r="K58" s="760">
        <f t="shared" si="5"/>
        <v>0</v>
      </c>
      <c r="L58" s="760"/>
      <c r="M58" s="752"/>
      <c r="N58" s="752"/>
      <c r="O58" s="752"/>
      <c r="P58" s="760"/>
      <c r="Q58" s="752"/>
      <c r="R58" s="752"/>
      <c r="S58" s="752"/>
    </row>
    <row r="59" spans="1:19" hidden="1">
      <c r="A59" s="774">
        <f t="shared" si="4"/>
        <v>2.4299999999999908</v>
      </c>
      <c r="B59" s="752"/>
      <c r="C59" s="760">
        <f t="shared" si="0"/>
        <v>0</v>
      </c>
      <c r="D59" s="760">
        <f t="shared" si="1"/>
        <v>0</v>
      </c>
      <c r="E59" s="760"/>
      <c r="F59" s="760"/>
      <c r="G59" s="760">
        <f t="shared" si="2"/>
        <v>0</v>
      </c>
      <c r="H59" s="760"/>
      <c r="I59" s="760">
        <f t="shared" si="5"/>
        <v>0</v>
      </c>
      <c r="J59" s="760">
        <f t="shared" si="5"/>
        <v>0</v>
      </c>
      <c r="K59" s="760">
        <f t="shared" si="5"/>
        <v>0</v>
      </c>
      <c r="L59" s="760"/>
      <c r="M59" s="752"/>
      <c r="N59" s="752"/>
      <c r="O59" s="752"/>
      <c r="P59" s="760"/>
      <c r="Q59" s="752"/>
      <c r="R59" s="752"/>
      <c r="S59" s="752"/>
    </row>
    <row r="60" spans="1:19" hidden="1">
      <c r="A60" s="774">
        <f t="shared" si="4"/>
        <v>2.4399999999999906</v>
      </c>
      <c r="B60" s="752"/>
      <c r="C60" s="760">
        <f t="shared" si="0"/>
        <v>0</v>
      </c>
      <c r="D60" s="760">
        <f t="shared" si="1"/>
        <v>0</v>
      </c>
      <c r="E60" s="760"/>
      <c r="F60" s="760"/>
      <c r="G60" s="760">
        <f t="shared" si="2"/>
        <v>0</v>
      </c>
      <c r="H60" s="760"/>
      <c r="I60" s="760">
        <f t="shared" si="5"/>
        <v>0</v>
      </c>
      <c r="J60" s="760">
        <f t="shared" si="5"/>
        <v>0</v>
      </c>
      <c r="K60" s="760">
        <f t="shared" si="5"/>
        <v>0</v>
      </c>
      <c r="L60" s="760"/>
      <c r="M60" s="752"/>
      <c r="N60" s="752"/>
      <c r="O60" s="752"/>
      <c r="P60" s="760"/>
      <c r="Q60" s="752"/>
      <c r="R60" s="752"/>
      <c r="S60" s="752"/>
    </row>
    <row r="61" spans="1:19" hidden="1">
      <c r="A61" s="774">
        <f t="shared" si="4"/>
        <v>2.4499999999999904</v>
      </c>
      <c r="B61" s="752"/>
      <c r="C61" s="760">
        <f t="shared" si="0"/>
        <v>0</v>
      </c>
      <c r="D61" s="760">
        <f t="shared" si="1"/>
        <v>0</v>
      </c>
      <c r="E61" s="760"/>
      <c r="F61" s="760"/>
      <c r="G61" s="760">
        <f t="shared" si="2"/>
        <v>0</v>
      </c>
      <c r="H61" s="760"/>
      <c r="I61" s="760">
        <f t="shared" si="5"/>
        <v>0</v>
      </c>
      <c r="J61" s="760">
        <f t="shared" si="5"/>
        <v>0</v>
      </c>
      <c r="K61" s="760">
        <f t="shared" si="5"/>
        <v>0</v>
      </c>
      <c r="L61" s="760"/>
      <c r="M61" s="752"/>
      <c r="N61" s="752"/>
      <c r="O61" s="752"/>
      <c r="P61" s="760"/>
      <c r="Q61" s="752"/>
      <c r="R61" s="752"/>
      <c r="S61" s="752"/>
    </row>
    <row r="62" spans="1:19" hidden="1">
      <c r="A62" s="774">
        <f t="shared" si="4"/>
        <v>2.4599999999999902</v>
      </c>
      <c r="B62" s="752"/>
      <c r="C62" s="760">
        <f t="shared" si="0"/>
        <v>0</v>
      </c>
      <c r="D62" s="760">
        <f t="shared" si="1"/>
        <v>0</v>
      </c>
      <c r="E62" s="760"/>
      <c r="F62" s="760"/>
      <c r="G62" s="760">
        <f t="shared" si="2"/>
        <v>0</v>
      </c>
      <c r="H62" s="760"/>
      <c r="I62" s="760">
        <f t="shared" si="5"/>
        <v>0</v>
      </c>
      <c r="J62" s="760">
        <f t="shared" si="5"/>
        <v>0</v>
      </c>
      <c r="K62" s="760">
        <f t="shared" si="5"/>
        <v>0</v>
      </c>
      <c r="L62" s="760"/>
      <c r="M62" s="752"/>
      <c r="N62" s="752"/>
      <c r="O62" s="752"/>
      <c r="P62" s="760"/>
      <c r="Q62" s="752"/>
      <c r="R62" s="752"/>
      <c r="S62" s="752"/>
    </row>
    <row r="63" spans="1:19" hidden="1">
      <c r="A63" s="774">
        <f t="shared" si="4"/>
        <v>2.46999999999999</v>
      </c>
      <c r="B63" s="752"/>
      <c r="C63" s="760">
        <f t="shared" si="0"/>
        <v>0</v>
      </c>
      <c r="D63" s="760">
        <f t="shared" si="1"/>
        <v>0</v>
      </c>
      <c r="E63" s="760"/>
      <c r="F63" s="760"/>
      <c r="G63" s="760">
        <f t="shared" si="2"/>
        <v>0</v>
      </c>
      <c r="H63" s="760"/>
      <c r="I63" s="760">
        <f t="shared" si="5"/>
        <v>0</v>
      </c>
      <c r="J63" s="760">
        <f t="shared" si="5"/>
        <v>0</v>
      </c>
      <c r="K63" s="760">
        <f t="shared" si="5"/>
        <v>0</v>
      </c>
      <c r="L63" s="760"/>
      <c r="M63" s="752"/>
      <c r="N63" s="752"/>
      <c r="O63" s="752"/>
      <c r="P63" s="760"/>
      <c r="Q63" s="752"/>
      <c r="R63" s="752"/>
      <c r="S63" s="752"/>
    </row>
    <row r="64" spans="1:19" hidden="1">
      <c r="A64" s="774">
        <f t="shared" si="4"/>
        <v>2.4799999999999898</v>
      </c>
      <c r="B64" s="752"/>
      <c r="C64" s="760">
        <f t="shared" si="0"/>
        <v>0</v>
      </c>
      <c r="D64" s="760">
        <f t="shared" si="1"/>
        <v>0</v>
      </c>
      <c r="E64" s="760"/>
      <c r="F64" s="760"/>
      <c r="G64" s="760">
        <f t="shared" si="2"/>
        <v>0</v>
      </c>
      <c r="H64" s="760"/>
      <c r="I64" s="760">
        <f t="shared" si="5"/>
        <v>0</v>
      </c>
      <c r="J64" s="760">
        <f t="shared" si="5"/>
        <v>0</v>
      </c>
      <c r="K64" s="760">
        <f t="shared" si="5"/>
        <v>0</v>
      </c>
      <c r="L64" s="760"/>
      <c r="M64" s="752"/>
      <c r="N64" s="752"/>
      <c r="O64" s="752"/>
      <c r="P64" s="760"/>
      <c r="Q64" s="752"/>
      <c r="R64" s="752"/>
      <c r="S64" s="752"/>
    </row>
    <row r="65" spans="1:19" hidden="1">
      <c r="A65" s="774">
        <f t="shared" si="4"/>
        <v>2.4899999999999896</v>
      </c>
      <c r="B65" s="752"/>
      <c r="C65" s="760">
        <f t="shared" si="0"/>
        <v>0</v>
      </c>
      <c r="D65" s="760">
        <f t="shared" si="1"/>
        <v>0</v>
      </c>
      <c r="E65" s="760"/>
      <c r="F65" s="760"/>
      <c r="G65" s="760">
        <f t="shared" si="2"/>
        <v>0</v>
      </c>
      <c r="H65" s="760"/>
      <c r="I65" s="760">
        <f t="shared" si="5"/>
        <v>0</v>
      </c>
      <c r="J65" s="760">
        <f t="shared" si="5"/>
        <v>0</v>
      </c>
      <c r="K65" s="760">
        <f t="shared" si="5"/>
        <v>0</v>
      </c>
      <c r="L65" s="760"/>
      <c r="M65" s="752"/>
      <c r="N65" s="752"/>
      <c r="O65" s="752"/>
      <c r="P65" s="760"/>
      <c r="Q65" s="752"/>
      <c r="R65" s="752"/>
      <c r="S65" s="752"/>
    </row>
    <row r="66" spans="1:19" hidden="1">
      <c r="A66" s="774">
        <f t="shared" si="4"/>
        <v>2.4999999999999893</v>
      </c>
      <c r="B66" s="752"/>
      <c r="C66" s="760">
        <f t="shared" si="0"/>
        <v>0</v>
      </c>
      <c r="D66" s="760">
        <f t="shared" si="1"/>
        <v>0</v>
      </c>
      <c r="E66" s="760"/>
      <c r="F66" s="760"/>
      <c r="G66" s="760">
        <f t="shared" si="2"/>
        <v>0</v>
      </c>
      <c r="H66" s="760"/>
      <c r="I66" s="760">
        <f t="shared" si="5"/>
        <v>0</v>
      </c>
      <c r="J66" s="760">
        <f t="shared" si="5"/>
        <v>0</v>
      </c>
      <c r="K66" s="760">
        <f t="shared" si="5"/>
        <v>0</v>
      </c>
      <c r="L66" s="760"/>
      <c r="M66" s="752"/>
      <c r="N66" s="752"/>
      <c r="O66" s="752"/>
      <c r="P66" s="760"/>
      <c r="Q66" s="752"/>
      <c r="R66" s="752"/>
      <c r="S66" s="752"/>
    </row>
    <row r="67" spans="1:19" hidden="1">
      <c r="A67" s="774">
        <f t="shared" si="4"/>
        <v>2.5099999999999891</v>
      </c>
      <c r="B67" s="752"/>
      <c r="C67" s="760">
        <f t="shared" si="0"/>
        <v>0</v>
      </c>
      <c r="D67" s="760">
        <f t="shared" si="1"/>
        <v>0</v>
      </c>
      <c r="E67" s="760"/>
      <c r="F67" s="760"/>
      <c r="G67" s="760">
        <f t="shared" si="2"/>
        <v>0</v>
      </c>
      <c r="H67" s="760"/>
      <c r="I67" s="760">
        <f t="shared" si="5"/>
        <v>0</v>
      </c>
      <c r="J67" s="760">
        <f t="shared" si="5"/>
        <v>0</v>
      </c>
      <c r="K67" s="760">
        <f t="shared" si="5"/>
        <v>0</v>
      </c>
      <c r="L67" s="760"/>
      <c r="M67" s="752"/>
      <c r="N67" s="752"/>
      <c r="O67" s="752"/>
      <c r="P67" s="760"/>
      <c r="Q67" s="752"/>
      <c r="R67" s="752"/>
      <c r="S67" s="752"/>
    </row>
    <row r="68" spans="1:19" hidden="1">
      <c r="A68" s="774">
        <f t="shared" si="4"/>
        <v>2.5199999999999889</v>
      </c>
      <c r="B68" s="752"/>
      <c r="C68" s="760">
        <f t="shared" si="0"/>
        <v>0</v>
      </c>
      <c r="D68" s="760">
        <f t="shared" si="1"/>
        <v>0</v>
      </c>
      <c r="E68" s="760"/>
      <c r="F68" s="760"/>
      <c r="G68" s="760">
        <f t="shared" si="2"/>
        <v>0</v>
      </c>
      <c r="H68" s="760"/>
      <c r="I68" s="760">
        <f t="shared" si="5"/>
        <v>0</v>
      </c>
      <c r="J68" s="760">
        <f t="shared" si="5"/>
        <v>0</v>
      </c>
      <c r="K68" s="760">
        <f t="shared" si="5"/>
        <v>0</v>
      </c>
      <c r="L68" s="760"/>
      <c r="M68" s="752"/>
      <c r="N68" s="752"/>
      <c r="O68" s="752"/>
      <c r="P68" s="760"/>
      <c r="Q68" s="752"/>
      <c r="R68" s="752"/>
      <c r="S68" s="752"/>
    </row>
    <row r="69" spans="1:19" hidden="1">
      <c r="A69" s="774">
        <f t="shared" si="4"/>
        <v>2.5299999999999887</v>
      </c>
      <c r="B69" s="752"/>
      <c r="C69" s="760">
        <f t="shared" si="0"/>
        <v>0</v>
      </c>
      <c r="D69" s="760">
        <f t="shared" si="1"/>
        <v>0</v>
      </c>
      <c r="E69" s="760"/>
      <c r="F69" s="760"/>
      <c r="G69" s="760">
        <f t="shared" si="2"/>
        <v>0</v>
      </c>
      <c r="H69" s="760"/>
      <c r="I69" s="760">
        <f t="shared" si="5"/>
        <v>0</v>
      </c>
      <c r="J69" s="760">
        <f t="shared" si="5"/>
        <v>0</v>
      </c>
      <c r="K69" s="760">
        <f t="shared" si="5"/>
        <v>0</v>
      </c>
      <c r="L69" s="760"/>
      <c r="M69" s="752"/>
      <c r="N69" s="752"/>
      <c r="O69" s="752"/>
      <c r="P69" s="760"/>
      <c r="Q69" s="752"/>
      <c r="R69" s="752"/>
      <c r="S69" s="752"/>
    </row>
    <row r="70" spans="1:19" hidden="1">
      <c r="A70" s="774">
        <f t="shared" si="4"/>
        <v>2.5399999999999885</v>
      </c>
      <c r="B70" s="752"/>
      <c r="C70" s="760">
        <f t="shared" si="0"/>
        <v>0</v>
      </c>
      <c r="D70" s="760">
        <f t="shared" si="1"/>
        <v>0</v>
      </c>
      <c r="E70" s="760"/>
      <c r="F70" s="760"/>
      <c r="G70" s="760">
        <f t="shared" si="2"/>
        <v>0</v>
      </c>
      <c r="H70" s="760"/>
      <c r="I70" s="760">
        <f t="shared" si="5"/>
        <v>0</v>
      </c>
      <c r="J70" s="760">
        <f t="shared" si="5"/>
        <v>0</v>
      </c>
      <c r="K70" s="760">
        <f t="shared" si="5"/>
        <v>0</v>
      </c>
      <c r="L70" s="760"/>
      <c r="M70" s="752"/>
      <c r="N70" s="752"/>
      <c r="O70" s="752"/>
      <c r="P70" s="760"/>
      <c r="Q70" s="752"/>
      <c r="R70" s="752"/>
      <c r="S70" s="752"/>
    </row>
    <row r="71" spans="1:19" hidden="1">
      <c r="A71" s="774">
        <f t="shared" si="4"/>
        <v>2.5499999999999883</v>
      </c>
      <c r="B71" s="752"/>
      <c r="C71" s="760">
        <f t="shared" si="0"/>
        <v>0</v>
      </c>
      <c r="D71" s="760">
        <f t="shared" si="1"/>
        <v>0</v>
      </c>
      <c r="E71" s="760"/>
      <c r="F71" s="760"/>
      <c r="G71" s="760">
        <f t="shared" si="2"/>
        <v>0</v>
      </c>
      <c r="H71" s="760"/>
      <c r="I71" s="760">
        <f t="shared" si="5"/>
        <v>0</v>
      </c>
      <c r="J71" s="760">
        <f t="shared" si="5"/>
        <v>0</v>
      </c>
      <c r="K71" s="760">
        <f t="shared" si="5"/>
        <v>0</v>
      </c>
      <c r="L71" s="760"/>
      <c r="M71" s="752"/>
      <c r="N71" s="752"/>
      <c r="O71" s="752"/>
      <c r="P71" s="760"/>
      <c r="Q71" s="752"/>
      <c r="R71" s="752"/>
      <c r="S71" s="752"/>
    </row>
    <row r="72" spans="1:19" hidden="1">
      <c r="A72" s="774">
        <f t="shared" si="4"/>
        <v>2.5599999999999881</v>
      </c>
      <c r="B72" s="752"/>
      <c r="C72" s="760">
        <f t="shared" si="0"/>
        <v>0</v>
      </c>
      <c r="D72" s="760">
        <f t="shared" si="1"/>
        <v>0</v>
      </c>
      <c r="E72" s="760"/>
      <c r="F72" s="760"/>
      <c r="G72" s="760">
        <f t="shared" si="2"/>
        <v>0</v>
      </c>
      <c r="H72" s="760"/>
      <c r="I72" s="760">
        <f t="shared" si="5"/>
        <v>0</v>
      </c>
      <c r="J72" s="760">
        <f t="shared" si="5"/>
        <v>0</v>
      </c>
      <c r="K72" s="760">
        <f t="shared" si="5"/>
        <v>0</v>
      </c>
      <c r="L72" s="760"/>
      <c r="M72" s="752"/>
      <c r="N72" s="752"/>
      <c r="O72" s="752"/>
      <c r="P72" s="760"/>
      <c r="Q72" s="752"/>
      <c r="R72" s="752"/>
      <c r="S72" s="752"/>
    </row>
    <row r="73" spans="1:19" hidden="1">
      <c r="A73" s="774">
        <f t="shared" si="4"/>
        <v>2.5699999999999878</v>
      </c>
      <c r="B73" s="752"/>
      <c r="C73" s="760">
        <f t="shared" si="0"/>
        <v>0</v>
      </c>
      <c r="D73" s="760">
        <f t="shared" si="1"/>
        <v>0</v>
      </c>
      <c r="E73" s="760"/>
      <c r="F73" s="760"/>
      <c r="G73" s="760">
        <f t="shared" si="2"/>
        <v>0</v>
      </c>
      <c r="H73" s="760"/>
      <c r="I73" s="760">
        <f t="shared" si="5"/>
        <v>0</v>
      </c>
      <c r="J73" s="760">
        <f t="shared" si="5"/>
        <v>0</v>
      </c>
      <c r="K73" s="760">
        <f t="shared" si="5"/>
        <v>0</v>
      </c>
      <c r="L73" s="760"/>
      <c r="M73" s="752"/>
      <c r="N73" s="752"/>
      <c r="O73" s="752"/>
      <c r="P73" s="760"/>
      <c r="Q73" s="752"/>
      <c r="R73" s="752"/>
      <c r="S73" s="752"/>
    </row>
    <row r="74" spans="1:19" hidden="1">
      <c r="A74" s="774">
        <f t="shared" si="4"/>
        <v>2.5799999999999876</v>
      </c>
      <c r="B74" s="752"/>
      <c r="C74" s="760">
        <f t="shared" si="0"/>
        <v>0</v>
      </c>
      <c r="D74" s="760">
        <f t="shared" si="1"/>
        <v>0</v>
      </c>
      <c r="E74" s="760"/>
      <c r="F74" s="760"/>
      <c r="G74" s="760">
        <f t="shared" si="2"/>
        <v>0</v>
      </c>
      <c r="H74" s="760"/>
      <c r="I74" s="760">
        <f t="shared" si="5"/>
        <v>0</v>
      </c>
      <c r="J74" s="760">
        <f t="shared" si="5"/>
        <v>0</v>
      </c>
      <c r="K74" s="760">
        <f t="shared" si="5"/>
        <v>0</v>
      </c>
      <c r="L74" s="760"/>
      <c r="M74" s="752"/>
      <c r="N74" s="752"/>
      <c r="O74" s="752"/>
      <c r="P74" s="760"/>
      <c r="Q74" s="752"/>
      <c r="R74" s="752"/>
      <c r="S74" s="752"/>
    </row>
    <row r="75" spans="1:19" hidden="1">
      <c r="A75" s="774">
        <f t="shared" si="4"/>
        <v>2.5899999999999874</v>
      </c>
      <c r="B75" s="752"/>
      <c r="C75" s="760">
        <f t="shared" si="0"/>
        <v>0</v>
      </c>
      <c r="D75" s="760">
        <f t="shared" si="1"/>
        <v>0</v>
      </c>
      <c r="E75" s="760"/>
      <c r="F75" s="760"/>
      <c r="G75" s="760">
        <f t="shared" si="2"/>
        <v>0</v>
      </c>
      <c r="H75" s="760"/>
      <c r="I75" s="760">
        <f t="shared" si="5"/>
        <v>0</v>
      </c>
      <c r="J75" s="760">
        <f t="shared" si="5"/>
        <v>0</v>
      </c>
      <c r="K75" s="760">
        <f t="shared" si="5"/>
        <v>0</v>
      </c>
      <c r="L75" s="760"/>
      <c r="M75" s="752"/>
      <c r="N75" s="752"/>
      <c r="O75" s="752"/>
      <c r="P75" s="760"/>
      <c r="Q75" s="752"/>
      <c r="R75" s="752"/>
      <c r="S75" s="752"/>
    </row>
    <row r="76" spans="1:19" hidden="1">
      <c r="A76" s="774">
        <f t="shared" si="4"/>
        <v>2.5999999999999872</v>
      </c>
      <c r="B76" s="752"/>
      <c r="C76" s="760">
        <f t="shared" si="0"/>
        <v>0</v>
      </c>
      <c r="D76" s="760">
        <f t="shared" si="1"/>
        <v>0</v>
      </c>
      <c r="E76" s="760"/>
      <c r="F76" s="760"/>
      <c r="G76" s="760">
        <f t="shared" si="2"/>
        <v>0</v>
      </c>
      <c r="H76" s="760"/>
      <c r="I76" s="760">
        <f t="shared" si="5"/>
        <v>0</v>
      </c>
      <c r="J76" s="760">
        <f t="shared" si="5"/>
        <v>0</v>
      </c>
      <c r="K76" s="760">
        <f t="shared" si="5"/>
        <v>0</v>
      </c>
      <c r="L76" s="760"/>
      <c r="M76" s="752"/>
      <c r="N76" s="752"/>
      <c r="O76" s="752"/>
      <c r="P76" s="760"/>
      <c r="Q76" s="752"/>
      <c r="R76" s="752"/>
      <c r="S76" s="752"/>
    </row>
    <row r="77" spans="1:19" hidden="1">
      <c r="A77" s="774">
        <f t="shared" si="4"/>
        <v>2.609999999999987</v>
      </c>
      <c r="B77" s="752"/>
      <c r="C77" s="764">
        <f t="shared" si="0"/>
        <v>0</v>
      </c>
      <c r="D77" s="764">
        <f t="shared" si="1"/>
        <v>0</v>
      </c>
      <c r="E77" s="764"/>
      <c r="F77" s="764"/>
      <c r="G77" s="764">
        <f t="shared" si="2"/>
        <v>0</v>
      </c>
      <c r="H77" s="764"/>
      <c r="I77" s="764">
        <f t="shared" si="5"/>
        <v>0</v>
      </c>
      <c r="J77" s="764">
        <f t="shared" si="5"/>
        <v>0</v>
      </c>
      <c r="K77" s="764">
        <f t="shared" si="5"/>
        <v>0</v>
      </c>
      <c r="L77" s="764"/>
      <c r="M77" s="752"/>
      <c r="N77" s="752"/>
      <c r="O77" s="752"/>
      <c r="P77" s="764"/>
      <c r="Q77" s="752"/>
      <c r="R77" s="752"/>
      <c r="S77" s="752"/>
    </row>
    <row r="78" spans="1:19" hidden="1">
      <c r="A78" s="774">
        <f t="shared" si="4"/>
        <v>2.6199999999999868</v>
      </c>
      <c r="B78" s="752"/>
      <c r="C78" s="764">
        <f t="shared" si="0"/>
        <v>0</v>
      </c>
      <c r="D78" s="764">
        <f t="shared" si="1"/>
        <v>0</v>
      </c>
      <c r="E78" s="764"/>
      <c r="F78" s="764"/>
      <c r="G78" s="764">
        <f t="shared" si="2"/>
        <v>0</v>
      </c>
      <c r="H78" s="764"/>
      <c r="I78" s="764">
        <f t="shared" si="5"/>
        <v>0</v>
      </c>
      <c r="J78" s="764">
        <f t="shared" si="5"/>
        <v>0</v>
      </c>
      <c r="K78" s="764">
        <f t="shared" si="5"/>
        <v>0</v>
      </c>
      <c r="L78" s="764"/>
      <c r="M78" s="752"/>
      <c r="N78" s="752"/>
      <c r="O78" s="752"/>
      <c r="P78" s="764"/>
      <c r="Q78" s="752"/>
      <c r="R78" s="752"/>
      <c r="S78" s="752"/>
    </row>
    <row r="79" spans="1:19" hidden="1">
      <c r="A79" s="774">
        <f t="shared" si="4"/>
        <v>2.6299999999999866</v>
      </c>
      <c r="B79" s="752"/>
      <c r="C79" s="760">
        <f t="shared" si="0"/>
        <v>0</v>
      </c>
      <c r="D79" s="760">
        <f t="shared" si="1"/>
        <v>0</v>
      </c>
      <c r="E79" s="760"/>
      <c r="F79" s="760"/>
      <c r="G79" s="760">
        <f t="shared" si="2"/>
        <v>0</v>
      </c>
      <c r="H79" s="760"/>
      <c r="I79" s="760">
        <f t="shared" si="5"/>
        <v>0</v>
      </c>
      <c r="J79" s="760">
        <f t="shared" si="5"/>
        <v>0</v>
      </c>
      <c r="K79" s="760">
        <f t="shared" si="5"/>
        <v>0</v>
      </c>
      <c r="L79" s="760"/>
      <c r="M79" s="752"/>
      <c r="N79" s="752"/>
      <c r="O79" s="752"/>
      <c r="P79" s="760"/>
      <c r="Q79" s="752"/>
      <c r="R79" s="752"/>
      <c r="S79" s="752"/>
    </row>
    <row r="80" spans="1:19" hidden="1">
      <c r="A80" s="774">
        <f t="shared" si="4"/>
        <v>2.6399999999999864</v>
      </c>
      <c r="B80" s="752"/>
      <c r="C80" s="760">
        <f t="shared" si="0"/>
        <v>0</v>
      </c>
      <c r="D80" s="760">
        <f t="shared" si="1"/>
        <v>0</v>
      </c>
      <c r="E80" s="760"/>
      <c r="F80" s="760"/>
      <c r="G80" s="760">
        <f t="shared" si="2"/>
        <v>0</v>
      </c>
      <c r="H80" s="760"/>
      <c r="I80" s="760">
        <f t="shared" si="5"/>
        <v>0</v>
      </c>
      <c r="J80" s="760">
        <f t="shared" si="5"/>
        <v>0</v>
      </c>
      <c r="K80" s="760">
        <f t="shared" si="5"/>
        <v>0</v>
      </c>
      <c r="L80" s="760"/>
      <c r="M80" s="752"/>
      <c r="N80" s="752"/>
      <c r="O80" s="752"/>
      <c r="P80" s="760"/>
      <c r="Q80" s="752"/>
      <c r="R80" s="752"/>
      <c r="S80" s="752"/>
    </row>
    <row r="81" spans="1:19" hidden="1">
      <c r="A81" s="774">
        <f t="shared" si="4"/>
        <v>2.6499999999999861</v>
      </c>
      <c r="B81" s="752"/>
      <c r="C81" s="760">
        <f t="shared" ref="C81:C95" si="6">SUM(M81:O81)</f>
        <v>0</v>
      </c>
      <c r="D81" s="760">
        <f t="shared" ref="D81:D95" si="7">SUM(Q81:S81)</f>
        <v>0</v>
      </c>
      <c r="E81" s="760"/>
      <c r="F81" s="760"/>
      <c r="G81" s="760">
        <f t="shared" ref="G81:G107" si="8">ROUND(SUM(C81:F81)/2,0)</f>
        <v>0</v>
      </c>
      <c r="H81" s="760"/>
      <c r="I81" s="760">
        <f t="shared" ref="I81:K95" si="9">(M81+Q81)/2</f>
        <v>0</v>
      </c>
      <c r="J81" s="760">
        <f t="shared" si="9"/>
        <v>0</v>
      </c>
      <c r="K81" s="760">
        <f t="shared" si="9"/>
        <v>0</v>
      </c>
      <c r="L81" s="760"/>
      <c r="M81" s="752"/>
      <c r="N81" s="752"/>
      <c r="O81" s="752"/>
      <c r="P81" s="760"/>
      <c r="Q81" s="752"/>
      <c r="R81" s="752"/>
      <c r="S81" s="752"/>
    </row>
    <row r="82" spans="1:19" hidden="1">
      <c r="A82" s="774">
        <f t="shared" si="4"/>
        <v>2.6599999999999859</v>
      </c>
      <c r="B82" s="752"/>
      <c r="C82" s="760">
        <f t="shared" si="6"/>
        <v>0</v>
      </c>
      <c r="D82" s="760">
        <f t="shared" si="7"/>
        <v>0</v>
      </c>
      <c r="E82" s="760"/>
      <c r="F82" s="760"/>
      <c r="G82" s="760">
        <f t="shared" si="8"/>
        <v>0</v>
      </c>
      <c r="H82" s="760"/>
      <c r="I82" s="760">
        <f t="shared" si="9"/>
        <v>0</v>
      </c>
      <c r="J82" s="760">
        <f t="shared" si="9"/>
        <v>0</v>
      </c>
      <c r="K82" s="760">
        <f t="shared" si="9"/>
        <v>0</v>
      </c>
      <c r="L82" s="760"/>
      <c r="M82" s="752"/>
      <c r="N82" s="752"/>
      <c r="O82" s="752"/>
      <c r="P82" s="760"/>
      <c r="Q82" s="752"/>
      <c r="R82" s="752"/>
      <c r="S82" s="752"/>
    </row>
    <row r="83" spans="1:19" hidden="1">
      <c r="A83" s="774">
        <f t="shared" ref="A83:A107" si="10">A82+0.01</f>
        <v>2.6699999999999857</v>
      </c>
      <c r="B83" s="752"/>
      <c r="C83" s="760">
        <f t="shared" si="6"/>
        <v>0</v>
      </c>
      <c r="D83" s="760">
        <f t="shared" si="7"/>
        <v>0</v>
      </c>
      <c r="E83" s="760"/>
      <c r="F83" s="760"/>
      <c r="G83" s="760">
        <f t="shared" si="8"/>
        <v>0</v>
      </c>
      <c r="H83" s="760"/>
      <c r="I83" s="760">
        <f t="shared" si="9"/>
        <v>0</v>
      </c>
      <c r="J83" s="760">
        <f t="shared" si="9"/>
        <v>0</v>
      </c>
      <c r="K83" s="760">
        <f t="shared" si="9"/>
        <v>0</v>
      </c>
      <c r="L83" s="760"/>
      <c r="M83" s="752"/>
      <c r="N83" s="752"/>
      <c r="O83" s="752"/>
      <c r="P83" s="760"/>
      <c r="Q83" s="752"/>
      <c r="R83" s="752"/>
      <c r="S83" s="752"/>
    </row>
    <row r="84" spans="1:19" hidden="1">
      <c r="A84" s="774">
        <f t="shared" si="10"/>
        <v>2.6799999999999855</v>
      </c>
      <c r="B84" s="752"/>
      <c r="C84" s="760">
        <f t="shared" si="6"/>
        <v>0</v>
      </c>
      <c r="D84" s="760">
        <f t="shared" si="7"/>
        <v>0</v>
      </c>
      <c r="E84" s="760"/>
      <c r="F84" s="760"/>
      <c r="G84" s="760">
        <f t="shared" si="8"/>
        <v>0</v>
      </c>
      <c r="H84" s="760"/>
      <c r="I84" s="760">
        <f t="shared" si="9"/>
        <v>0</v>
      </c>
      <c r="J84" s="760">
        <f t="shared" si="9"/>
        <v>0</v>
      </c>
      <c r="K84" s="760">
        <f t="shared" si="9"/>
        <v>0</v>
      </c>
      <c r="L84" s="760"/>
      <c r="M84" s="752"/>
      <c r="N84" s="752"/>
      <c r="O84" s="752"/>
      <c r="P84" s="760"/>
      <c r="Q84" s="752"/>
      <c r="R84" s="752"/>
      <c r="S84" s="752"/>
    </row>
    <row r="85" spans="1:19" hidden="1">
      <c r="A85" s="774">
        <f t="shared" si="10"/>
        <v>2.6899999999999853</v>
      </c>
      <c r="B85" s="752"/>
      <c r="C85" s="760">
        <f t="shared" si="6"/>
        <v>0</v>
      </c>
      <c r="D85" s="760">
        <f t="shared" si="7"/>
        <v>0</v>
      </c>
      <c r="E85" s="760"/>
      <c r="F85" s="760"/>
      <c r="G85" s="760">
        <f t="shared" si="8"/>
        <v>0</v>
      </c>
      <c r="H85" s="760"/>
      <c r="I85" s="760">
        <f t="shared" si="9"/>
        <v>0</v>
      </c>
      <c r="J85" s="760">
        <f t="shared" si="9"/>
        <v>0</v>
      </c>
      <c r="K85" s="760">
        <f t="shared" si="9"/>
        <v>0</v>
      </c>
      <c r="L85" s="760"/>
      <c r="M85" s="752"/>
      <c r="N85" s="752"/>
      <c r="O85" s="752"/>
      <c r="P85" s="760"/>
      <c r="Q85" s="752"/>
      <c r="R85" s="752"/>
      <c r="S85" s="752"/>
    </row>
    <row r="86" spans="1:19" hidden="1">
      <c r="A86" s="774">
        <f t="shared" si="10"/>
        <v>2.6999999999999851</v>
      </c>
      <c r="B86" s="752"/>
      <c r="C86" s="760">
        <f t="shared" si="6"/>
        <v>0</v>
      </c>
      <c r="D86" s="760">
        <f t="shared" si="7"/>
        <v>0</v>
      </c>
      <c r="E86" s="760"/>
      <c r="F86" s="760"/>
      <c r="G86" s="760">
        <f t="shared" si="8"/>
        <v>0</v>
      </c>
      <c r="H86" s="760"/>
      <c r="I86" s="760">
        <f t="shared" si="9"/>
        <v>0</v>
      </c>
      <c r="J86" s="760">
        <f t="shared" si="9"/>
        <v>0</v>
      </c>
      <c r="K86" s="760">
        <f t="shared" si="9"/>
        <v>0</v>
      </c>
      <c r="L86" s="760"/>
      <c r="M86" s="752"/>
      <c r="N86" s="752"/>
      <c r="O86" s="752"/>
      <c r="P86" s="760"/>
      <c r="Q86" s="752"/>
      <c r="R86" s="752"/>
      <c r="S86" s="752"/>
    </row>
    <row r="87" spans="1:19" hidden="1">
      <c r="A87" s="774">
        <f t="shared" si="10"/>
        <v>2.7099999999999849</v>
      </c>
      <c r="B87" s="752"/>
      <c r="C87" s="760">
        <f t="shared" si="6"/>
        <v>0</v>
      </c>
      <c r="D87" s="760">
        <f t="shared" si="7"/>
        <v>0</v>
      </c>
      <c r="E87" s="760"/>
      <c r="F87" s="760"/>
      <c r="G87" s="760">
        <f t="shared" si="8"/>
        <v>0</v>
      </c>
      <c r="H87" s="760"/>
      <c r="I87" s="760">
        <f t="shared" si="9"/>
        <v>0</v>
      </c>
      <c r="J87" s="760">
        <f t="shared" si="9"/>
        <v>0</v>
      </c>
      <c r="K87" s="760">
        <f t="shared" si="9"/>
        <v>0</v>
      </c>
      <c r="L87" s="760"/>
      <c r="M87" s="752"/>
      <c r="N87" s="752"/>
      <c r="O87" s="752"/>
      <c r="P87" s="760"/>
      <c r="Q87" s="752"/>
      <c r="R87" s="752"/>
      <c r="S87" s="752"/>
    </row>
    <row r="88" spans="1:19" hidden="1">
      <c r="A88" s="774">
        <f t="shared" si="10"/>
        <v>2.7199999999999847</v>
      </c>
      <c r="B88" s="752"/>
      <c r="C88" s="760">
        <f t="shared" si="6"/>
        <v>0</v>
      </c>
      <c r="D88" s="760">
        <f t="shared" si="7"/>
        <v>0</v>
      </c>
      <c r="E88" s="760"/>
      <c r="F88" s="760"/>
      <c r="G88" s="760">
        <f t="shared" si="8"/>
        <v>0</v>
      </c>
      <c r="H88" s="760"/>
      <c r="I88" s="760">
        <f t="shared" si="9"/>
        <v>0</v>
      </c>
      <c r="J88" s="760">
        <f t="shared" si="9"/>
        <v>0</v>
      </c>
      <c r="K88" s="760">
        <f t="shared" si="9"/>
        <v>0</v>
      </c>
      <c r="L88" s="760"/>
      <c r="M88" s="752"/>
      <c r="N88" s="752"/>
      <c r="O88" s="752"/>
      <c r="P88" s="760"/>
      <c r="Q88" s="752"/>
      <c r="R88" s="752"/>
      <c r="S88" s="752"/>
    </row>
    <row r="89" spans="1:19" hidden="1">
      <c r="A89" s="774">
        <f t="shared" si="10"/>
        <v>2.7299999999999844</v>
      </c>
      <c r="B89" s="752"/>
      <c r="C89" s="760">
        <f t="shared" si="6"/>
        <v>0</v>
      </c>
      <c r="D89" s="760">
        <f t="shared" si="7"/>
        <v>0</v>
      </c>
      <c r="E89" s="760"/>
      <c r="F89" s="760"/>
      <c r="G89" s="760">
        <f t="shared" si="8"/>
        <v>0</v>
      </c>
      <c r="H89" s="760"/>
      <c r="I89" s="760">
        <f t="shared" si="9"/>
        <v>0</v>
      </c>
      <c r="J89" s="760">
        <f t="shared" si="9"/>
        <v>0</v>
      </c>
      <c r="K89" s="760">
        <f t="shared" si="9"/>
        <v>0</v>
      </c>
      <c r="L89" s="760"/>
      <c r="M89" s="752"/>
      <c r="N89" s="752"/>
      <c r="O89" s="752"/>
      <c r="P89" s="760"/>
      <c r="Q89" s="752"/>
      <c r="R89" s="752"/>
      <c r="S89" s="752"/>
    </row>
    <row r="90" spans="1:19" hidden="1">
      <c r="A90" s="774">
        <f t="shared" si="10"/>
        <v>2.7399999999999842</v>
      </c>
      <c r="B90" s="752"/>
      <c r="C90" s="760">
        <f t="shared" si="6"/>
        <v>0</v>
      </c>
      <c r="D90" s="760">
        <f t="shared" si="7"/>
        <v>0</v>
      </c>
      <c r="E90" s="760"/>
      <c r="F90" s="760"/>
      <c r="G90" s="760">
        <f t="shared" si="8"/>
        <v>0</v>
      </c>
      <c r="H90" s="760"/>
      <c r="I90" s="760">
        <f t="shared" si="9"/>
        <v>0</v>
      </c>
      <c r="J90" s="760">
        <f t="shared" si="9"/>
        <v>0</v>
      </c>
      <c r="K90" s="760">
        <f t="shared" si="9"/>
        <v>0</v>
      </c>
      <c r="L90" s="760"/>
      <c r="M90" s="752"/>
      <c r="N90" s="752"/>
      <c r="O90" s="752"/>
      <c r="P90" s="760"/>
      <c r="Q90" s="752"/>
      <c r="R90" s="752"/>
      <c r="S90" s="752"/>
    </row>
    <row r="91" spans="1:19" hidden="1">
      <c r="A91" s="774">
        <f t="shared" si="10"/>
        <v>2.749999999999984</v>
      </c>
      <c r="B91" s="752"/>
      <c r="C91" s="760">
        <f t="shared" si="6"/>
        <v>0</v>
      </c>
      <c r="D91" s="760">
        <f t="shared" si="7"/>
        <v>0</v>
      </c>
      <c r="E91" s="760"/>
      <c r="F91" s="760"/>
      <c r="G91" s="760">
        <f t="shared" si="8"/>
        <v>0</v>
      </c>
      <c r="H91" s="760"/>
      <c r="I91" s="760">
        <f t="shared" si="9"/>
        <v>0</v>
      </c>
      <c r="J91" s="760">
        <f t="shared" si="9"/>
        <v>0</v>
      </c>
      <c r="K91" s="760">
        <f t="shared" si="9"/>
        <v>0</v>
      </c>
      <c r="L91" s="760"/>
      <c r="M91" s="752"/>
      <c r="N91" s="752"/>
      <c r="O91" s="752"/>
      <c r="P91" s="760"/>
      <c r="Q91" s="752"/>
      <c r="R91" s="752"/>
      <c r="S91" s="752"/>
    </row>
    <row r="92" spans="1:19" hidden="1">
      <c r="A92" s="774">
        <f t="shared" si="10"/>
        <v>2.7599999999999838</v>
      </c>
      <c r="B92" s="752"/>
      <c r="C92" s="760">
        <f t="shared" si="6"/>
        <v>0</v>
      </c>
      <c r="D92" s="760">
        <f t="shared" si="7"/>
        <v>0</v>
      </c>
      <c r="E92" s="760"/>
      <c r="F92" s="760"/>
      <c r="G92" s="760">
        <f t="shared" si="8"/>
        <v>0</v>
      </c>
      <c r="H92" s="760"/>
      <c r="I92" s="760">
        <f t="shared" si="9"/>
        <v>0</v>
      </c>
      <c r="J92" s="760">
        <f t="shared" si="9"/>
        <v>0</v>
      </c>
      <c r="K92" s="760">
        <f t="shared" si="9"/>
        <v>0</v>
      </c>
      <c r="L92" s="760"/>
      <c r="M92" s="752"/>
      <c r="N92" s="752"/>
      <c r="O92" s="752"/>
      <c r="P92" s="760"/>
      <c r="Q92" s="752"/>
      <c r="R92" s="752"/>
      <c r="S92" s="752"/>
    </row>
    <row r="93" spans="1:19" hidden="1">
      <c r="A93" s="774">
        <f t="shared" si="10"/>
        <v>2.7699999999999836</v>
      </c>
      <c r="B93" s="752"/>
      <c r="C93" s="760">
        <f t="shared" si="6"/>
        <v>0</v>
      </c>
      <c r="D93" s="760">
        <f t="shared" si="7"/>
        <v>0</v>
      </c>
      <c r="E93" s="760"/>
      <c r="F93" s="760"/>
      <c r="G93" s="760">
        <f t="shared" si="8"/>
        <v>0</v>
      </c>
      <c r="H93" s="760"/>
      <c r="I93" s="760">
        <f t="shared" si="9"/>
        <v>0</v>
      </c>
      <c r="J93" s="760">
        <f t="shared" si="9"/>
        <v>0</v>
      </c>
      <c r="K93" s="760">
        <f t="shared" si="9"/>
        <v>0</v>
      </c>
      <c r="L93" s="760"/>
      <c r="M93" s="752"/>
      <c r="N93" s="752"/>
      <c r="O93" s="752"/>
      <c r="P93" s="760"/>
      <c r="Q93" s="752"/>
      <c r="R93" s="752"/>
      <c r="S93" s="752"/>
    </row>
    <row r="94" spans="1:19" hidden="1">
      <c r="A94" s="774">
        <f t="shared" si="10"/>
        <v>2.7799999999999834</v>
      </c>
      <c r="B94" s="752"/>
      <c r="C94" s="760">
        <f t="shared" si="6"/>
        <v>0</v>
      </c>
      <c r="D94" s="760">
        <f t="shared" si="7"/>
        <v>0</v>
      </c>
      <c r="E94" s="760"/>
      <c r="F94" s="760"/>
      <c r="G94" s="760">
        <f t="shared" si="8"/>
        <v>0</v>
      </c>
      <c r="H94" s="760"/>
      <c r="I94" s="760">
        <f t="shared" si="9"/>
        <v>0</v>
      </c>
      <c r="J94" s="760">
        <f t="shared" si="9"/>
        <v>0</v>
      </c>
      <c r="K94" s="760">
        <f t="shared" si="9"/>
        <v>0</v>
      </c>
      <c r="L94" s="760"/>
      <c r="M94" s="752"/>
      <c r="N94" s="752"/>
      <c r="O94" s="752"/>
      <c r="P94" s="760"/>
      <c r="Q94" s="752"/>
      <c r="R94" s="752"/>
      <c r="S94" s="752"/>
    </row>
    <row r="95" spans="1:19" hidden="1">
      <c r="A95" s="774">
        <f t="shared" si="10"/>
        <v>2.7899999999999832</v>
      </c>
      <c r="B95" s="752"/>
      <c r="C95" s="760">
        <f t="shared" si="6"/>
        <v>0</v>
      </c>
      <c r="D95" s="760">
        <f t="shared" si="7"/>
        <v>0</v>
      </c>
      <c r="E95" s="760"/>
      <c r="F95" s="760"/>
      <c r="G95" s="760">
        <f t="shared" si="8"/>
        <v>0</v>
      </c>
      <c r="H95" s="760"/>
      <c r="I95" s="760">
        <f t="shared" si="9"/>
        <v>0</v>
      </c>
      <c r="J95" s="760">
        <f t="shared" si="9"/>
        <v>0</v>
      </c>
      <c r="K95" s="760">
        <f t="shared" si="9"/>
        <v>0</v>
      </c>
      <c r="L95" s="760"/>
      <c r="M95" s="752"/>
      <c r="N95" s="752"/>
      <c r="O95" s="752"/>
      <c r="P95" s="760"/>
      <c r="Q95" s="752"/>
      <c r="R95" s="752"/>
      <c r="S95" s="752"/>
    </row>
    <row r="96" spans="1:19">
      <c r="A96" s="774">
        <f t="shared" si="10"/>
        <v>2.7999999999999829</v>
      </c>
      <c r="B96" s="752"/>
      <c r="C96" s="752"/>
      <c r="D96" s="752"/>
      <c r="E96" s="760">
        <f t="shared" ref="E96:F106" si="11">-C96</f>
        <v>0</v>
      </c>
      <c r="F96" s="760">
        <f t="shared" si="11"/>
        <v>0</v>
      </c>
      <c r="G96" s="760">
        <f t="shared" si="8"/>
        <v>0</v>
      </c>
      <c r="H96" s="760"/>
      <c r="I96" s="760"/>
      <c r="J96" s="760"/>
      <c r="K96" s="760"/>
      <c r="L96" s="760"/>
      <c r="M96" s="760"/>
      <c r="N96" s="760"/>
      <c r="O96" s="760"/>
      <c r="P96" s="760"/>
      <c r="Q96" s="760"/>
      <c r="R96" s="760"/>
      <c r="S96" s="760"/>
    </row>
    <row r="97" spans="1:256">
      <c r="A97" s="774">
        <f t="shared" si="10"/>
        <v>2.8099999999999827</v>
      </c>
      <c r="B97" s="752"/>
      <c r="C97" s="752"/>
      <c r="D97" s="752"/>
      <c r="E97" s="760">
        <f t="shared" si="11"/>
        <v>0</v>
      </c>
      <c r="F97" s="760">
        <f t="shared" si="11"/>
        <v>0</v>
      </c>
      <c r="G97" s="760">
        <f t="shared" si="8"/>
        <v>0</v>
      </c>
      <c r="H97" s="760"/>
      <c r="I97" s="760"/>
      <c r="J97" s="760"/>
      <c r="K97" s="760"/>
      <c r="L97" s="760"/>
      <c r="M97" s="760"/>
      <c r="N97" s="760"/>
      <c r="O97" s="760"/>
      <c r="P97" s="760"/>
      <c r="Q97" s="760"/>
      <c r="R97" s="760"/>
      <c r="S97" s="760"/>
    </row>
    <row r="98" spans="1:256">
      <c r="A98" s="774">
        <f t="shared" si="10"/>
        <v>2.8199999999999825</v>
      </c>
      <c r="B98" s="752"/>
      <c r="C98" s="752"/>
      <c r="D98" s="752"/>
      <c r="E98" s="760">
        <f t="shared" si="11"/>
        <v>0</v>
      </c>
      <c r="F98" s="760">
        <f t="shared" si="11"/>
        <v>0</v>
      </c>
      <c r="G98" s="760">
        <f t="shared" si="8"/>
        <v>0</v>
      </c>
      <c r="H98" s="760"/>
      <c r="I98" s="760"/>
      <c r="J98" s="760"/>
      <c r="K98" s="760"/>
      <c r="L98" s="760"/>
      <c r="M98" s="760"/>
      <c r="N98" s="760"/>
      <c r="O98" s="760"/>
      <c r="P98" s="760"/>
      <c r="Q98" s="760"/>
      <c r="R98" s="760"/>
      <c r="S98" s="760"/>
    </row>
    <row r="99" spans="1:256">
      <c r="A99" s="774">
        <f t="shared" si="10"/>
        <v>2.8299999999999823</v>
      </c>
      <c r="B99" s="752"/>
      <c r="C99" s="752"/>
      <c r="D99" s="752"/>
      <c r="E99" s="760">
        <f t="shared" si="11"/>
        <v>0</v>
      </c>
      <c r="F99" s="760">
        <f t="shared" si="11"/>
        <v>0</v>
      </c>
      <c r="G99" s="760">
        <f t="shared" si="8"/>
        <v>0</v>
      </c>
      <c r="H99" s="760"/>
      <c r="I99" s="760"/>
      <c r="J99" s="760"/>
      <c r="K99" s="760"/>
      <c r="L99" s="760"/>
      <c r="M99" s="760"/>
      <c r="N99" s="760"/>
      <c r="O99" s="760"/>
      <c r="P99" s="760"/>
      <c r="Q99" s="760"/>
      <c r="R99" s="760"/>
      <c r="S99" s="760"/>
    </row>
    <row r="100" spans="1:256">
      <c r="A100" s="774">
        <f t="shared" si="10"/>
        <v>2.8399999999999821</v>
      </c>
      <c r="B100" s="752"/>
      <c r="C100" s="752"/>
      <c r="D100" s="752"/>
      <c r="E100" s="760">
        <f t="shared" si="11"/>
        <v>0</v>
      </c>
      <c r="F100" s="760">
        <f t="shared" si="11"/>
        <v>0</v>
      </c>
      <c r="G100" s="760">
        <f t="shared" si="8"/>
        <v>0</v>
      </c>
      <c r="H100" s="760"/>
      <c r="I100" s="760"/>
      <c r="J100" s="760"/>
      <c r="K100" s="760"/>
      <c r="L100" s="760"/>
      <c r="M100" s="760"/>
      <c r="N100" s="760"/>
      <c r="O100" s="760"/>
      <c r="P100" s="760"/>
      <c r="Q100" s="760"/>
      <c r="R100" s="760"/>
      <c r="S100" s="760"/>
    </row>
    <row r="101" spans="1:256">
      <c r="A101" s="774">
        <f t="shared" si="10"/>
        <v>2.8499999999999819</v>
      </c>
      <c r="B101" s="752"/>
      <c r="C101" s="752"/>
      <c r="D101" s="752"/>
      <c r="E101" s="760">
        <f t="shared" si="11"/>
        <v>0</v>
      </c>
      <c r="F101" s="760">
        <f t="shared" si="11"/>
        <v>0</v>
      </c>
      <c r="G101" s="760">
        <f t="shared" si="8"/>
        <v>0</v>
      </c>
      <c r="H101" s="760"/>
      <c r="I101" s="760"/>
      <c r="J101" s="760"/>
      <c r="K101" s="760"/>
      <c r="L101" s="760"/>
      <c r="M101" s="760"/>
      <c r="N101" s="760"/>
      <c r="O101" s="760"/>
      <c r="P101" s="760"/>
      <c r="Q101" s="760"/>
      <c r="R101" s="760"/>
      <c r="S101" s="760"/>
    </row>
    <row r="102" spans="1:256">
      <c r="A102" s="774">
        <f t="shared" si="10"/>
        <v>2.8599999999999817</v>
      </c>
      <c r="B102" s="752"/>
      <c r="C102" s="752"/>
      <c r="D102" s="752"/>
      <c r="E102" s="760">
        <f t="shared" si="11"/>
        <v>0</v>
      </c>
      <c r="F102" s="760">
        <f t="shared" si="11"/>
        <v>0</v>
      </c>
      <c r="G102" s="760">
        <f t="shared" si="8"/>
        <v>0</v>
      </c>
      <c r="H102" s="760"/>
      <c r="I102" s="760"/>
      <c r="J102" s="760"/>
      <c r="K102" s="760"/>
      <c r="L102" s="760"/>
      <c r="M102" s="760"/>
      <c r="N102" s="760"/>
      <c r="O102" s="760"/>
      <c r="P102" s="760"/>
      <c r="Q102" s="760"/>
      <c r="R102" s="760"/>
      <c r="S102" s="760"/>
    </row>
    <row r="103" spans="1:256">
      <c r="A103" s="774">
        <f t="shared" si="10"/>
        <v>2.8699999999999815</v>
      </c>
      <c r="B103" s="752"/>
      <c r="C103" s="752"/>
      <c r="D103" s="752"/>
      <c r="E103" s="760">
        <f t="shared" si="11"/>
        <v>0</v>
      </c>
      <c r="F103" s="760">
        <f t="shared" si="11"/>
        <v>0</v>
      </c>
      <c r="G103" s="760">
        <f t="shared" si="8"/>
        <v>0</v>
      </c>
      <c r="H103" s="760"/>
      <c r="I103" s="760"/>
      <c r="J103" s="760"/>
      <c r="K103" s="760"/>
      <c r="L103" s="760"/>
      <c r="M103" s="760"/>
      <c r="N103" s="760"/>
      <c r="O103" s="760"/>
      <c r="P103" s="760"/>
      <c r="Q103" s="760"/>
      <c r="R103" s="760"/>
      <c r="S103" s="760"/>
    </row>
    <row r="104" spans="1:256">
      <c r="A104" s="774">
        <f t="shared" si="10"/>
        <v>2.8799999999999812</v>
      </c>
      <c r="B104" s="752"/>
      <c r="C104" s="752"/>
      <c r="D104" s="752"/>
      <c r="E104" s="760">
        <f t="shared" si="11"/>
        <v>0</v>
      </c>
      <c r="F104" s="760">
        <f t="shared" si="11"/>
        <v>0</v>
      </c>
      <c r="G104" s="760">
        <f t="shared" si="8"/>
        <v>0</v>
      </c>
      <c r="H104" s="760"/>
      <c r="I104" s="760"/>
      <c r="J104" s="760"/>
      <c r="K104" s="760"/>
      <c r="L104" s="760"/>
      <c r="M104" s="760"/>
      <c r="N104" s="760"/>
      <c r="O104" s="760"/>
      <c r="P104" s="760"/>
      <c r="Q104" s="760"/>
      <c r="R104" s="760"/>
      <c r="S104" s="760"/>
    </row>
    <row r="105" spans="1:256">
      <c r="A105" s="774">
        <f t="shared" si="10"/>
        <v>2.889999999999981</v>
      </c>
      <c r="B105" s="752"/>
      <c r="C105" s="752"/>
      <c r="D105" s="752"/>
      <c r="E105" s="760">
        <f t="shared" si="11"/>
        <v>0</v>
      </c>
      <c r="F105" s="760">
        <f t="shared" si="11"/>
        <v>0</v>
      </c>
      <c r="G105" s="760">
        <f t="shared" si="8"/>
        <v>0</v>
      </c>
      <c r="H105" s="760"/>
      <c r="I105" s="760"/>
      <c r="J105" s="760"/>
      <c r="K105" s="760"/>
      <c r="L105" s="760"/>
      <c r="M105" s="760"/>
      <c r="N105" s="760"/>
      <c r="O105" s="760"/>
      <c r="P105" s="760"/>
      <c r="Q105" s="760"/>
      <c r="R105" s="760"/>
      <c r="S105" s="760"/>
    </row>
    <row r="106" spans="1:256">
      <c r="A106" s="774">
        <f t="shared" si="10"/>
        <v>2.8999999999999808</v>
      </c>
      <c r="B106" s="752"/>
      <c r="C106" s="752"/>
      <c r="D106" s="752"/>
      <c r="E106" s="760">
        <f t="shared" si="11"/>
        <v>0</v>
      </c>
      <c r="F106" s="760">
        <f t="shared" si="11"/>
        <v>0</v>
      </c>
      <c r="G106" s="760">
        <f t="shared" si="8"/>
        <v>0</v>
      </c>
      <c r="H106" s="760"/>
      <c r="I106" s="760">
        <f t="shared" ref="I106:K107" si="12">(M106+Q106)/2</f>
        <v>0</v>
      </c>
      <c r="J106" s="760">
        <f t="shared" si="12"/>
        <v>0</v>
      </c>
      <c r="K106" s="760">
        <f t="shared" si="12"/>
        <v>0</v>
      </c>
      <c r="L106" s="760"/>
      <c r="M106" s="760"/>
      <c r="N106" s="760"/>
      <c r="O106" s="760"/>
      <c r="P106" s="760"/>
      <c r="Q106" s="760"/>
      <c r="R106" s="760"/>
      <c r="S106" s="760"/>
    </row>
    <row r="107" spans="1:256">
      <c r="A107" s="774">
        <f t="shared" si="10"/>
        <v>2.9099999999999806</v>
      </c>
      <c r="B107" s="752"/>
      <c r="C107" s="760">
        <f>SUM(M107:O107)</f>
        <v>0</v>
      </c>
      <c r="D107" s="760">
        <f>SUM(Q107:S107)</f>
        <v>0</v>
      </c>
      <c r="E107" s="760"/>
      <c r="F107" s="760"/>
      <c r="G107" s="760">
        <f t="shared" si="8"/>
        <v>0</v>
      </c>
      <c r="H107" s="760"/>
      <c r="I107" s="760">
        <f t="shared" si="12"/>
        <v>0</v>
      </c>
      <c r="J107" s="760">
        <f t="shared" si="12"/>
        <v>0</v>
      </c>
      <c r="K107" s="760">
        <f t="shared" si="12"/>
        <v>0</v>
      </c>
      <c r="L107" s="760"/>
      <c r="M107" s="752"/>
      <c r="N107" s="752"/>
      <c r="O107" s="752"/>
      <c r="P107" s="760"/>
      <c r="Q107" s="752"/>
      <c r="R107" s="752"/>
      <c r="S107" s="752"/>
    </row>
    <row r="108" spans="1:256">
      <c r="A108" s="769"/>
      <c r="B108" s="760"/>
      <c r="C108" s="760"/>
      <c r="D108" s="760"/>
      <c r="E108" s="760"/>
      <c r="F108" s="760"/>
      <c r="G108" s="760"/>
      <c r="H108" s="760"/>
      <c r="I108" s="760"/>
      <c r="J108" s="760"/>
      <c r="K108" s="760"/>
      <c r="L108" s="760"/>
      <c r="M108" s="760"/>
      <c r="N108" s="760"/>
      <c r="O108" s="760"/>
      <c r="P108" s="760"/>
      <c r="Q108" s="760"/>
      <c r="R108" s="760"/>
      <c r="S108" s="760"/>
    </row>
    <row r="109" spans="1:256" ht="13.5" thickBot="1">
      <c r="A109" s="751">
        <v>3</v>
      </c>
      <c r="B109" s="760" t="s">
        <v>689</v>
      </c>
      <c r="C109" s="770">
        <f>SUM(C17:C108)</f>
        <v>0</v>
      </c>
      <c r="D109" s="770">
        <f>SUM(D17:D108)</f>
        <v>0</v>
      </c>
      <c r="E109" s="770">
        <f>SUM(E17:E108)</f>
        <v>0</v>
      </c>
      <c r="F109" s="770">
        <f>SUM(F17:F108)</f>
        <v>0</v>
      </c>
      <c r="G109" s="770">
        <f>SUM(G17:G108)</f>
        <v>0</v>
      </c>
      <c r="H109" s="760"/>
      <c r="I109" s="770">
        <f>SUM(I17:I108)</f>
        <v>0</v>
      </c>
      <c r="J109" s="770">
        <f>SUM(J17:J108)</f>
        <v>0</v>
      </c>
      <c r="K109" s="770">
        <f>SUM(K17:K108)</f>
        <v>0</v>
      </c>
      <c r="L109" s="760"/>
      <c r="M109" s="770">
        <f>SUM(M17:M108)</f>
        <v>0</v>
      </c>
      <c r="N109" s="770">
        <f>SUM(N17:N108)</f>
        <v>0</v>
      </c>
      <c r="O109" s="770">
        <f>SUM(O17:O108)</f>
        <v>0</v>
      </c>
      <c r="P109" s="760"/>
      <c r="Q109" s="770">
        <f>SUM(Q17:Q108)</f>
        <v>0</v>
      </c>
      <c r="R109" s="770">
        <f>SUM(R17:R108)</f>
        <v>0</v>
      </c>
      <c r="S109" s="770">
        <f>SUM(S17:S108)</f>
        <v>0</v>
      </c>
    </row>
    <row r="110" spans="1:256" ht="13.5" thickTop="1">
      <c r="A110" s="751">
        <v>4</v>
      </c>
      <c r="B110" s="754" t="s">
        <v>690</v>
      </c>
      <c r="C110" s="760">
        <f>C77+C78</f>
        <v>0</v>
      </c>
      <c r="D110" s="760">
        <f>D77+D78</f>
        <v>0</v>
      </c>
      <c r="E110" s="760">
        <f>E77+E78</f>
        <v>0</v>
      </c>
      <c r="F110" s="760">
        <f>F77+F78</f>
        <v>0</v>
      </c>
      <c r="G110" s="760">
        <f>G77+G78</f>
        <v>0</v>
      </c>
      <c r="I110" s="760">
        <f>I77+I78</f>
        <v>0</v>
      </c>
      <c r="J110" s="760">
        <f>J77+J78</f>
        <v>0</v>
      </c>
      <c r="K110" s="760">
        <f>K77+K78</f>
        <v>0</v>
      </c>
      <c r="M110" s="760">
        <f>M77+M78</f>
        <v>0</v>
      </c>
      <c r="N110" s="760">
        <f>N77+N78</f>
        <v>0</v>
      </c>
      <c r="O110" s="760">
        <f>O77+O78</f>
        <v>0</v>
      </c>
      <c r="Q110" s="760">
        <f>Q77+Q78</f>
        <v>0</v>
      </c>
      <c r="R110" s="760">
        <f>R77+R78</f>
        <v>0</v>
      </c>
      <c r="S110" s="760">
        <f>S77+S78</f>
        <v>0</v>
      </c>
      <c r="IV110" s="760"/>
    </row>
    <row r="111" spans="1:256">
      <c r="I111" s="760"/>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87"/>
  <sheetViews>
    <sheetView tabSelected="1" workbookViewId="0">
      <selection activeCell="L25" sqref="L25"/>
    </sheetView>
  </sheetViews>
  <sheetFormatPr defaultColWidth="10" defaultRowHeight="12"/>
  <cols>
    <col min="1" max="1" width="9.42578125" style="975" customWidth="1"/>
    <col min="2" max="2" width="20.85546875" style="976" customWidth="1"/>
    <col min="3" max="3" width="35.5703125" style="975" customWidth="1"/>
    <col min="4" max="4" width="12.85546875" style="975" customWidth="1"/>
    <col min="5" max="5" width="10.42578125" style="975" customWidth="1"/>
    <col min="6" max="6" width="16.42578125" style="975" customWidth="1"/>
    <col min="7" max="7" width="12" style="975" customWidth="1"/>
    <col min="8" max="8" width="14.28515625" style="975" bestFit="1" customWidth="1"/>
    <col min="9" max="9" width="18.85546875" style="975" customWidth="1"/>
    <col min="10" max="10" width="15.5703125" style="975" customWidth="1"/>
    <col min="11" max="11" width="16.140625" style="975" customWidth="1"/>
    <col min="12" max="13" width="15" style="975" customWidth="1"/>
    <col min="14" max="14" width="13.5703125" style="975" customWidth="1"/>
    <col min="15" max="15" width="15" style="975" customWidth="1"/>
    <col min="16" max="17" width="17.5703125" style="975" customWidth="1"/>
    <col min="18" max="18" width="33" style="975" customWidth="1"/>
    <col min="19" max="19" width="15" style="975" customWidth="1"/>
    <col min="20" max="21" width="14.5703125" style="975" bestFit="1" customWidth="1"/>
    <col min="22" max="22" width="10.5703125" style="975" bestFit="1" customWidth="1"/>
    <col min="23" max="256" width="10" style="975"/>
    <col min="257" max="257" width="9.42578125" style="975" customWidth="1"/>
    <col min="258" max="258" width="20.85546875" style="975" customWidth="1"/>
    <col min="259" max="259" width="35.5703125" style="975" customWidth="1"/>
    <col min="260" max="260" width="12.85546875" style="975" customWidth="1"/>
    <col min="261" max="261" width="10.42578125" style="975" customWidth="1"/>
    <col min="262" max="262" width="16.42578125" style="975" customWidth="1"/>
    <col min="263" max="263" width="12" style="975" customWidth="1"/>
    <col min="264" max="264" width="14.28515625" style="975" bestFit="1" customWidth="1"/>
    <col min="265" max="265" width="18.85546875" style="975" customWidth="1"/>
    <col min="266" max="266" width="15.5703125" style="975" customWidth="1"/>
    <col min="267" max="267" width="16.140625" style="975" customWidth="1"/>
    <col min="268" max="269" width="15" style="975" customWidth="1"/>
    <col min="270" max="270" width="13.5703125" style="975" customWidth="1"/>
    <col min="271" max="271" width="15" style="975" customWidth="1"/>
    <col min="272" max="273" width="17.5703125" style="975" customWidth="1"/>
    <col min="274" max="274" width="33" style="975" customWidth="1"/>
    <col min="275" max="275" width="15" style="975" customWidth="1"/>
    <col min="276" max="277" width="14.5703125" style="975" bestFit="1" customWidth="1"/>
    <col min="278" max="278" width="10.5703125" style="975" bestFit="1" customWidth="1"/>
    <col min="279" max="512" width="10" style="975"/>
    <col min="513" max="513" width="9.42578125" style="975" customWidth="1"/>
    <col min="514" max="514" width="20.85546875" style="975" customWidth="1"/>
    <col min="515" max="515" width="35.5703125" style="975" customWidth="1"/>
    <col min="516" max="516" width="12.85546875" style="975" customWidth="1"/>
    <col min="517" max="517" width="10.42578125" style="975" customWidth="1"/>
    <col min="518" max="518" width="16.42578125" style="975" customWidth="1"/>
    <col min="519" max="519" width="12" style="975" customWidth="1"/>
    <col min="520" max="520" width="14.28515625" style="975" bestFit="1" customWidth="1"/>
    <col min="521" max="521" width="18.85546875" style="975" customWidth="1"/>
    <col min="522" max="522" width="15.5703125" style="975" customWidth="1"/>
    <col min="523" max="523" width="16.140625" style="975" customWidth="1"/>
    <col min="524" max="525" width="15" style="975" customWidth="1"/>
    <col min="526" max="526" width="13.5703125" style="975" customWidth="1"/>
    <col min="527" max="527" width="15" style="975" customWidth="1"/>
    <col min="528" max="529" width="17.5703125" style="975" customWidth="1"/>
    <col min="530" max="530" width="33" style="975" customWidth="1"/>
    <col min="531" max="531" width="15" style="975" customWidth="1"/>
    <col min="532" max="533" width="14.5703125" style="975" bestFit="1" customWidth="1"/>
    <col min="534" max="534" width="10.5703125" style="975" bestFit="1" customWidth="1"/>
    <col min="535" max="768" width="10" style="975"/>
    <col min="769" max="769" width="9.42578125" style="975" customWidth="1"/>
    <col min="770" max="770" width="20.85546875" style="975" customWidth="1"/>
    <col min="771" max="771" width="35.5703125" style="975" customWidth="1"/>
    <col min="772" max="772" width="12.85546875" style="975" customWidth="1"/>
    <col min="773" max="773" width="10.42578125" style="975" customWidth="1"/>
    <col min="774" max="774" width="16.42578125" style="975" customWidth="1"/>
    <col min="775" max="775" width="12" style="975" customWidth="1"/>
    <col min="776" max="776" width="14.28515625" style="975" bestFit="1" customWidth="1"/>
    <col min="777" max="777" width="18.85546875" style="975" customWidth="1"/>
    <col min="778" max="778" width="15.5703125" style="975" customWidth="1"/>
    <col min="779" max="779" width="16.140625" style="975" customWidth="1"/>
    <col min="780" max="781" width="15" style="975" customWidth="1"/>
    <col min="782" max="782" width="13.5703125" style="975" customWidth="1"/>
    <col min="783" max="783" width="15" style="975" customWidth="1"/>
    <col min="784" max="785" width="17.5703125" style="975" customWidth="1"/>
    <col min="786" max="786" width="33" style="975" customWidth="1"/>
    <col min="787" max="787" width="15" style="975" customWidth="1"/>
    <col min="788" max="789" width="14.5703125" style="975" bestFit="1" customWidth="1"/>
    <col min="790" max="790" width="10.5703125" style="975" bestFit="1" customWidth="1"/>
    <col min="791" max="1024" width="10" style="975"/>
    <col min="1025" max="1025" width="9.42578125" style="975" customWidth="1"/>
    <col min="1026" max="1026" width="20.85546875" style="975" customWidth="1"/>
    <col min="1027" max="1027" width="35.5703125" style="975" customWidth="1"/>
    <col min="1028" max="1028" width="12.85546875" style="975" customWidth="1"/>
    <col min="1029" max="1029" width="10.42578125" style="975" customWidth="1"/>
    <col min="1030" max="1030" width="16.42578125" style="975" customWidth="1"/>
    <col min="1031" max="1031" width="12" style="975" customWidth="1"/>
    <col min="1032" max="1032" width="14.28515625" style="975" bestFit="1" customWidth="1"/>
    <col min="1033" max="1033" width="18.85546875" style="975" customWidth="1"/>
    <col min="1034" max="1034" width="15.5703125" style="975" customWidth="1"/>
    <col min="1035" max="1035" width="16.140625" style="975" customWidth="1"/>
    <col min="1036" max="1037" width="15" style="975" customWidth="1"/>
    <col min="1038" max="1038" width="13.5703125" style="975" customWidth="1"/>
    <col min="1039" max="1039" width="15" style="975" customWidth="1"/>
    <col min="1040" max="1041" width="17.5703125" style="975" customWidth="1"/>
    <col min="1042" max="1042" width="33" style="975" customWidth="1"/>
    <col min="1043" max="1043" width="15" style="975" customWidth="1"/>
    <col min="1044" max="1045" width="14.5703125" style="975" bestFit="1" customWidth="1"/>
    <col min="1046" max="1046" width="10.5703125" style="975" bestFit="1" customWidth="1"/>
    <col min="1047" max="1280" width="10" style="975"/>
    <col min="1281" max="1281" width="9.42578125" style="975" customWidth="1"/>
    <col min="1282" max="1282" width="20.85546875" style="975" customWidth="1"/>
    <col min="1283" max="1283" width="35.5703125" style="975" customWidth="1"/>
    <col min="1284" max="1284" width="12.85546875" style="975" customWidth="1"/>
    <col min="1285" max="1285" width="10.42578125" style="975" customWidth="1"/>
    <col min="1286" max="1286" width="16.42578125" style="975" customWidth="1"/>
    <col min="1287" max="1287" width="12" style="975" customWidth="1"/>
    <col min="1288" max="1288" width="14.28515625" style="975" bestFit="1" customWidth="1"/>
    <col min="1289" max="1289" width="18.85546875" style="975" customWidth="1"/>
    <col min="1290" max="1290" width="15.5703125" style="975" customWidth="1"/>
    <col min="1291" max="1291" width="16.140625" style="975" customWidth="1"/>
    <col min="1292" max="1293" width="15" style="975" customWidth="1"/>
    <col min="1294" max="1294" width="13.5703125" style="975" customWidth="1"/>
    <col min="1295" max="1295" width="15" style="975" customWidth="1"/>
    <col min="1296" max="1297" width="17.5703125" style="975" customWidth="1"/>
    <col min="1298" max="1298" width="33" style="975" customWidth="1"/>
    <col min="1299" max="1299" width="15" style="975" customWidth="1"/>
    <col min="1300" max="1301" width="14.5703125" style="975" bestFit="1" customWidth="1"/>
    <col min="1302" max="1302" width="10.5703125" style="975" bestFit="1" customWidth="1"/>
    <col min="1303" max="1536" width="10" style="975"/>
    <col min="1537" max="1537" width="9.42578125" style="975" customWidth="1"/>
    <col min="1538" max="1538" width="20.85546875" style="975" customWidth="1"/>
    <col min="1539" max="1539" width="35.5703125" style="975" customWidth="1"/>
    <col min="1540" max="1540" width="12.85546875" style="975" customWidth="1"/>
    <col min="1541" max="1541" width="10.42578125" style="975" customWidth="1"/>
    <col min="1542" max="1542" width="16.42578125" style="975" customWidth="1"/>
    <col min="1543" max="1543" width="12" style="975" customWidth="1"/>
    <col min="1544" max="1544" width="14.28515625" style="975" bestFit="1" customWidth="1"/>
    <col min="1545" max="1545" width="18.85546875" style="975" customWidth="1"/>
    <col min="1546" max="1546" width="15.5703125" style="975" customWidth="1"/>
    <col min="1547" max="1547" width="16.140625" style="975" customWidth="1"/>
    <col min="1548" max="1549" width="15" style="975" customWidth="1"/>
    <col min="1550" max="1550" width="13.5703125" style="975" customWidth="1"/>
    <col min="1551" max="1551" width="15" style="975" customWidth="1"/>
    <col min="1552" max="1553" width="17.5703125" style="975" customWidth="1"/>
    <col min="1554" max="1554" width="33" style="975" customWidth="1"/>
    <col min="1555" max="1555" width="15" style="975" customWidth="1"/>
    <col min="1556" max="1557" width="14.5703125" style="975" bestFit="1" customWidth="1"/>
    <col min="1558" max="1558" width="10.5703125" style="975" bestFit="1" customWidth="1"/>
    <col min="1559" max="1792" width="10" style="975"/>
    <col min="1793" max="1793" width="9.42578125" style="975" customWidth="1"/>
    <col min="1794" max="1794" width="20.85546875" style="975" customWidth="1"/>
    <col min="1795" max="1795" width="35.5703125" style="975" customWidth="1"/>
    <col min="1796" max="1796" width="12.85546875" style="975" customWidth="1"/>
    <col min="1797" max="1797" width="10.42578125" style="975" customWidth="1"/>
    <col min="1798" max="1798" width="16.42578125" style="975" customWidth="1"/>
    <col min="1799" max="1799" width="12" style="975" customWidth="1"/>
    <col min="1800" max="1800" width="14.28515625" style="975" bestFit="1" customWidth="1"/>
    <col min="1801" max="1801" width="18.85546875" style="975" customWidth="1"/>
    <col min="1802" max="1802" width="15.5703125" style="975" customWidth="1"/>
    <col min="1803" max="1803" width="16.140625" style="975" customWidth="1"/>
    <col min="1804" max="1805" width="15" style="975" customWidth="1"/>
    <col min="1806" max="1806" width="13.5703125" style="975" customWidth="1"/>
    <col min="1807" max="1807" width="15" style="975" customWidth="1"/>
    <col min="1808" max="1809" width="17.5703125" style="975" customWidth="1"/>
    <col min="1810" max="1810" width="33" style="975" customWidth="1"/>
    <col min="1811" max="1811" width="15" style="975" customWidth="1"/>
    <col min="1812" max="1813" width="14.5703125" style="975" bestFit="1" customWidth="1"/>
    <col min="1814" max="1814" width="10.5703125" style="975" bestFit="1" customWidth="1"/>
    <col min="1815" max="2048" width="10" style="975"/>
    <col min="2049" max="2049" width="9.42578125" style="975" customWidth="1"/>
    <col min="2050" max="2050" width="20.85546875" style="975" customWidth="1"/>
    <col min="2051" max="2051" width="35.5703125" style="975" customWidth="1"/>
    <col min="2052" max="2052" width="12.85546875" style="975" customWidth="1"/>
    <col min="2053" max="2053" width="10.42578125" style="975" customWidth="1"/>
    <col min="2054" max="2054" width="16.42578125" style="975" customWidth="1"/>
    <col min="2055" max="2055" width="12" style="975" customWidth="1"/>
    <col min="2056" max="2056" width="14.28515625" style="975" bestFit="1" customWidth="1"/>
    <col min="2057" max="2057" width="18.85546875" style="975" customWidth="1"/>
    <col min="2058" max="2058" width="15.5703125" style="975" customWidth="1"/>
    <col min="2059" max="2059" width="16.140625" style="975" customWidth="1"/>
    <col min="2060" max="2061" width="15" style="975" customWidth="1"/>
    <col min="2062" max="2062" width="13.5703125" style="975" customWidth="1"/>
    <col min="2063" max="2063" width="15" style="975" customWidth="1"/>
    <col min="2064" max="2065" width="17.5703125" style="975" customWidth="1"/>
    <col min="2066" max="2066" width="33" style="975" customWidth="1"/>
    <col min="2067" max="2067" width="15" style="975" customWidth="1"/>
    <col min="2068" max="2069" width="14.5703125" style="975" bestFit="1" customWidth="1"/>
    <col min="2070" max="2070" width="10.5703125" style="975" bestFit="1" customWidth="1"/>
    <col min="2071" max="2304" width="10" style="975"/>
    <col min="2305" max="2305" width="9.42578125" style="975" customWidth="1"/>
    <col min="2306" max="2306" width="20.85546875" style="975" customWidth="1"/>
    <col min="2307" max="2307" width="35.5703125" style="975" customWidth="1"/>
    <col min="2308" max="2308" width="12.85546875" style="975" customWidth="1"/>
    <col min="2309" max="2309" width="10.42578125" style="975" customWidth="1"/>
    <col min="2310" max="2310" width="16.42578125" style="975" customWidth="1"/>
    <col min="2311" max="2311" width="12" style="975" customWidth="1"/>
    <col min="2312" max="2312" width="14.28515625" style="975" bestFit="1" customWidth="1"/>
    <col min="2313" max="2313" width="18.85546875" style="975" customWidth="1"/>
    <col min="2314" max="2314" width="15.5703125" style="975" customWidth="1"/>
    <col min="2315" max="2315" width="16.140625" style="975" customWidth="1"/>
    <col min="2316" max="2317" width="15" style="975" customWidth="1"/>
    <col min="2318" max="2318" width="13.5703125" style="975" customWidth="1"/>
    <col min="2319" max="2319" width="15" style="975" customWidth="1"/>
    <col min="2320" max="2321" width="17.5703125" style="975" customWidth="1"/>
    <col min="2322" max="2322" width="33" style="975" customWidth="1"/>
    <col min="2323" max="2323" width="15" style="975" customWidth="1"/>
    <col min="2324" max="2325" width="14.5703125" style="975" bestFit="1" customWidth="1"/>
    <col min="2326" max="2326" width="10.5703125" style="975" bestFit="1" customWidth="1"/>
    <col min="2327" max="2560" width="10" style="975"/>
    <col min="2561" max="2561" width="9.42578125" style="975" customWidth="1"/>
    <col min="2562" max="2562" width="20.85546875" style="975" customWidth="1"/>
    <col min="2563" max="2563" width="35.5703125" style="975" customWidth="1"/>
    <col min="2564" max="2564" width="12.85546875" style="975" customWidth="1"/>
    <col min="2565" max="2565" width="10.42578125" style="975" customWidth="1"/>
    <col min="2566" max="2566" width="16.42578125" style="975" customWidth="1"/>
    <col min="2567" max="2567" width="12" style="975" customWidth="1"/>
    <col min="2568" max="2568" width="14.28515625" style="975" bestFit="1" customWidth="1"/>
    <col min="2569" max="2569" width="18.85546875" style="975" customWidth="1"/>
    <col min="2570" max="2570" width="15.5703125" style="975" customWidth="1"/>
    <col min="2571" max="2571" width="16.140625" style="975" customWidth="1"/>
    <col min="2572" max="2573" width="15" style="975" customWidth="1"/>
    <col min="2574" max="2574" width="13.5703125" style="975" customWidth="1"/>
    <col min="2575" max="2575" width="15" style="975" customWidth="1"/>
    <col min="2576" max="2577" width="17.5703125" style="975" customWidth="1"/>
    <col min="2578" max="2578" width="33" style="975" customWidth="1"/>
    <col min="2579" max="2579" width="15" style="975" customWidth="1"/>
    <col min="2580" max="2581" width="14.5703125" style="975" bestFit="1" customWidth="1"/>
    <col min="2582" max="2582" width="10.5703125" style="975" bestFit="1" customWidth="1"/>
    <col min="2583" max="2816" width="10" style="975"/>
    <col min="2817" max="2817" width="9.42578125" style="975" customWidth="1"/>
    <col min="2818" max="2818" width="20.85546875" style="975" customWidth="1"/>
    <col min="2819" max="2819" width="35.5703125" style="975" customWidth="1"/>
    <col min="2820" max="2820" width="12.85546875" style="975" customWidth="1"/>
    <col min="2821" max="2821" width="10.42578125" style="975" customWidth="1"/>
    <col min="2822" max="2822" width="16.42578125" style="975" customWidth="1"/>
    <col min="2823" max="2823" width="12" style="975" customWidth="1"/>
    <col min="2824" max="2824" width="14.28515625" style="975" bestFit="1" customWidth="1"/>
    <col min="2825" max="2825" width="18.85546875" style="975" customWidth="1"/>
    <col min="2826" max="2826" width="15.5703125" style="975" customWidth="1"/>
    <col min="2827" max="2827" width="16.140625" style="975" customWidth="1"/>
    <col min="2828" max="2829" width="15" style="975" customWidth="1"/>
    <col min="2830" max="2830" width="13.5703125" style="975" customWidth="1"/>
    <col min="2831" max="2831" width="15" style="975" customWidth="1"/>
    <col min="2832" max="2833" width="17.5703125" style="975" customWidth="1"/>
    <col min="2834" max="2834" width="33" style="975" customWidth="1"/>
    <col min="2835" max="2835" width="15" style="975" customWidth="1"/>
    <col min="2836" max="2837" width="14.5703125" style="975" bestFit="1" customWidth="1"/>
    <col min="2838" max="2838" width="10.5703125" style="975" bestFit="1" customWidth="1"/>
    <col min="2839" max="3072" width="10" style="975"/>
    <col min="3073" max="3073" width="9.42578125" style="975" customWidth="1"/>
    <col min="3074" max="3074" width="20.85546875" style="975" customWidth="1"/>
    <col min="3075" max="3075" width="35.5703125" style="975" customWidth="1"/>
    <col min="3076" max="3076" width="12.85546875" style="975" customWidth="1"/>
    <col min="3077" max="3077" width="10.42578125" style="975" customWidth="1"/>
    <col min="3078" max="3078" width="16.42578125" style="975" customWidth="1"/>
    <col min="3079" max="3079" width="12" style="975" customWidth="1"/>
    <col min="3080" max="3080" width="14.28515625" style="975" bestFit="1" customWidth="1"/>
    <col min="3081" max="3081" width="18.85546875" style="975" customWidth="1"/>
    <col min="3082" max="3082" width="15.5703125" style="975" customWidth="1"/>
    <col min="3083" max="3083" width="16.140625" style="975" customWidth="1"/>
    <col min="3084" max="3085" width="15" style="975" customWidth="1"/>
    <col min="3086" max="3086" width="13.5703125" style="975" customWidth="1"/>
    <col min="3087" max="3087" width="15" style="975" customWidth="1"/>
    <col min="3088" max="3089" width="17.5703125" style="975" customWidth="1"/>
    <col min="3090" max="3090" width="33" style="975" customWidth="1"/>
    <col min="3091" max="3091" width="15" style="975" customWidth="1"/>
    <col min="3092" max="3093" width="14.5703125" style="975" bestFit="1" customWidth="1"/>
    <col min="3094" max="3094" width="10.5703125" style="975" bestFit="1" customWidth="1"/>
    <col min="3095" max="3328" width="10" style="975"/>
    <col min="3329" max="3329" width="9.42578125" style="975" customWidth="1"/>
    <col min="3330" max="3330" width="20.85546875" style="975" customWidth="1"/>
    <col min="3331" max="3331" width="35.5703125" style="975" customWidth="1"/>
    <col min="3332" max="3332" width="12.85546875" style="975" customWidth="1"/>
    <col min="3333" max="3333" width="10.42578125" style="975" customWidth="1"/>
    <col min="3334" max="3334" width="16.42578125" style="975" customWidth="1"/>
    <col min="3335" max="3335" width="12" style="975" customWidth="1"/>
    <col min="3336" max="3336" width="14.28515625" style="975" bestFit="1" customWidth="1"/>
    <col min="3337" max="3337" width="18.85546875" style="975" customWidth="1"/>
    <col min="3338" max="3338" width="15.5703125" style="975" customWidth="1"/>
    <col min="3339" max="3339" width="16.140625" style="975" customWidth="1"/>
    <col min="3340" max="3341" width="15" style="975" customWidth="1"/>
    <col min="3342" max="3342" width="13.5703125" style="975" customWidth="1"/>
    <col min="3343" max="3343" width="15" style="975" customWidth="1"/>
    <col min="3344" max="3345" width="17.5703125" style="975" customWidth="1"/>
    <col min="3346" max="3346" width="33" style="975" customWidth="1"/>
    <col min="3347" max="3347" width="15" style="975" customWidth="1"/>
    <col min="3348" max="3349" width="14.5703125" style="975" bestFit="1" customWidth="1"/>
    <col min="3350" max="3350" width="10.5703125" style="975" bestFit="1" customWidth="1"/>
    <col min="3351" max="3584" width="10" style="975"/>
    <col min="3585" max="3585" width="9.42578125" style="975" customWidth="1"/>
    <col min="3586" max="3586" width="20.85546875" style="975" customWidth="1"/>
    <col min="3587" max="3587" width="35.5703125" style="975" customWidth="1"/>
    <col min="3588" max="3588" width="12.85546875" style="975" customWidth="1"/>
    <col min="3589" max="3589" width="10.42578125" style="975" customWidth="1"/>
    <col min="3590" max="3590" width="16.42578125" style="975" customWidth="1"/>
    <col min="3591" max="3591" width="12" style="975" customWidth="1"/>
    <col min="3592" max="3592" width="14.28515625" style="975" bestFit="1" customWidth="1"/>
    <col min="3593" max="3593" width="18.85546875" style="975" customWidth="1"/>
    <col min="3594" max="3594" width="15.5703125" style="975" customWidth="1"/>
    <col min="3595" max="3595" width="16.140625" style="975" customWidth="1"/>
    <col min="3596" max="3597" width="15" style="975" customWidth="1"/>
    <col min="3598" max="3598" width="13.5703125" style="975" customWidth="1"/>
    <col min="3599" max="3599" width="15" style="975" customWidth="1"/>
    <col min="3600" max="3601" width="17.5703125" style="975" customWidth="1"/>
    <col min="3602" max="3602" width="33" style="975" customWidth="1"/>
    <col min="3603" max="3603" width="15" style="975" customWidth="1"/>
    <col min="3604" max="3605" width="14.5703125" style="975" bestFit="1" customWidth="1"/>
    <col min="3606" max="3606" width="10.5703125" style="975" bestFit="1" customWidth="1"/>
    <col min="3607" max="3840" width="10" style="975"/>
    <col min="3841" max="3841" width="9.42578125" style="975" customWidth="1"/>
    <col min="3842" max="3842" width="20.85546875" style="975" customWidth="1"/>
    <col min="3843" max="3843" width="35.5703125" style="975" customWidth="1"/>
    <col min="3844" max="3844" width="12.85546875" style="975" customWidth="1"/>
    <col min="3845" max="3845" width="10.42578125" style="975" customWidth="1"/>
    <col min="3846" max="3846" width="16.42578125" style="975" customWidth="1"/>
    <col min="3847" max="3847" width="12" style="975" customWidth="1"/>
    <col min="3848" max="3848" width="14.28515625" style="975" bestFit="1" customWidth="1"/>
    <col min="3849" max="3849" width="18.85546875" style="975" customWidth="1"/>
    <col min="3850" max="3850" width="15.5703125" style="975" customWidth="1"/>
    <col min="3851" max="3851" width="16.140625" style="975" customWidth="1"/>
    <col min="3852" max="3853" width="15" style="975" customWidth="1"/>
    <col min="3854" max="3854" width="13.5703125" style="975" customWidth="1"/>
    <col min="3855" max="3855" width="15" style="975" customWidth="1"/>
    <col min="3856" max="3857" width="17.5703125" style="975" customWidth="1"/>
    <col min="3858" max="3858" width="33" style="975" customWidth="1"/>
    <col min="3859" max="3859" width="15" style="975" customWidth="1"/>
    <col min="3860" max="3861" width="14.5703125" style="975" bestFit="1" customWidth="1"/>
    <col min="3862" max="3862" width="10.5703125" style="975" bestFit="1" customWidth="1"/>
    <col min="3863" max="4096" width="10" style="975"/>
    <col min="4097" max="4097" width="9.42578125" style="975" customWidth="1"/>
    <col min="4098" max="4098" width="20.85546875" style="975" customWidth="1"/>
    <col min="4099" max="4099" width="35.5703125" style="975" customWidth="1"/>
    <col min="4100" max="4100" width="12.85546875" style="975" customWidth="1"/>
    <col min="4101" max="4101" width="10.42578125" style="975" customWidth="1"/>
    <col min="4102" max="4102" width="16.42578125" style="975" customWidth="1"/>
    <col min="4103" max="4103" width="12" style="975" customWidth="1"/>
    <col min="4104" max="4104" width="14.28515625" style="975" bestFit="1" customWidth="1"/>
    <col min="4105" max="4105" width="18.85546875" style="975" customWidth="1"/>
    <col min="4106" max="4106" width="15.5703125" style="975" customWidth="1"/>
    <col min="4107" max="4107" width="16.140625" style="975" customWidth="1"/>
    <col min="4108" max="4109" width="15" style="975" customWidth="1"/>
    <col min="4110" max="4110" width="13.5703125" style="975" customWidth="1"/>
    <col min="4111" max="4111" width="15" style="975" customWidth="1"/>
    <col min="4112" max="4113" width="17.5703125" style="975" customWidth="1"/>
    <col min="4114" max="4114" width="33" style="975" customWidth="1"/>
    <col min="4115" max="4115" width="15" style="975" customWidth="1"/>
    <col min="4116" max="4117" width="14.5703125" style="975" bestFit="1" customWidth="1"/>
    <col min="4118" max="4118" width="10.5703125" style="975" bestFit="1" customWidth="1"/>
    <col min="4119" max="4352" width="10" style="975"/>
    <col min="4353" max="4353" width="9.42578125" style="975" customWidth="1"/>
    <col min="4354" max="4354" width="20.85546875" style="975" customWidth="1"/>
    <col min="4355" max="4355" width="35.5703125" style="975" customWidth="1"/>
    <col min="4356" max="4356" width="12.85546875" style="975" customWidth="1"/>
    <col min="4357" max="4357" width="10.42578125" style="975" customWidth="1"/>
    <col min="4358" max="4358" width="16.42578125" style="975" customWidth="1"/>
    <col min="4359" max="4359" width="12" style="975" customWidth="1"/>
    <col min="4360" max="4360" width="14.28515625" style="975" bestFit="1" customWidth="1"/>
    <col min="4361" max="4361" width="18.85546875" style="975" customWidth="1"/>
    <col min="4362" max="4362" width="15.5703125" style="975" customWidth="1"/>
    <col min="4363" max="4363" width="16.140625" style="975" customWidth="1"/>
    <col min="4364" max="4365" width="15" style="975" customWidth="1"/>
    <col min="4366" max="4366" width="13.5703125" style="975" customWidth="1"/>
    <col min="4367" max="4367" width="15" style="975" customWidth="1"/>
    <col min="4368" max="4369" width="17.5703125" style="975" customWidth="1"/>
    <col min="4370" max="4370" width="33" style="975" customWidth="1"/>
    <col min="4371" max="4371" width="15" style="975" customWidth="1"/>
    <col min="4372" max="4373" width="14.5703125" style="975" bestFit="1" customWidth="1"/>
    <col min="4374" max="4374" width="10.5703125" style="975" bestFit="1" customWidth="1"/>
    <col min="4375" max="4608" width="10" style="975"/>
    <col min="4609" max="4609" width="9.42578125" style="975" customWidth="1"/>
    <col min="4610" max="4610" width="20.85546875" style="975" customWidth="1"/>
    <col min="4611" max="4611" width="35.5703125" style="975" customWidth="1"/>
    <col min="4612" max="4612" width="12.85546875" style="975" customWidth="1"/>
    <col min="4613" max="4613" width="10.42578125" style="975" customWidth="1"/>
    <col min="4614" max="4614" width="16.42578125" style="975" customWidth="1"/>
    <col min="4615" max="4615" width="12" style="975" customWidth="1"/>
    <col min="4616" max="4616" width="14.28515625" style="975" bestFit="1" customWidth="1"/>
    <col min="4617" max="4617" width="18.85546875" style="975" customWidth="1"/>
    <col min="4618" max="4618" width="15.5703125" style="975" customWidth="1"/>
    <col min="4619" max="4619" width="16.140625" style="975" customWidth="1"/>
    <col min="4620" max="4621" width="15" style="975" customWidth="1"/>
    <col min="4622" max="4622" width="13.5703125" style="975" customWidth="1"/>
    <col min="4623" max="4623" width="15" style="975" customWidth="1"/>
    <col min="4624" max="4625" width="17.5703125" style="975" customWidth="1"/>
    <col min="4626" max="4626" width="33" style="975" customWidth="1"/>
    <col min="4627" max="4627" width="15" style="975" customWidth="1"/>
    <col min="4628" max="4629" width="14.5703125" style="975" bestFit="1" customWidth="1"/>
    <col min="4630" max="4630" width="10.5703125" style="975" bestFit="1" customWidth="1"/>
    <col min="4631" max="4864" width="10" style="975"/>
    <col min="4865" max="4865" width="9.42578125" style="975" customWidth="1"/>
    <col min="4866" max="4866" width="20.85546875" style="975" customWidth="1"/>
    <col min="4867" max="4867" width="35.5703125" style="975" customWidth="1"/>
    <col min="4868" max="4868" width="12.85546875" style="975" customWidth="1"/>
    <col min="4869" max="4869" width="10.42578125" style="975" customWidth="1"/>
    <col min="4870" max="4870" width="16.42578125" style="975" customWidth="1"/>
    <col min="4871" max="4871" width="12" style="975" customWidth="1"/>
    <col min="4872" max="4872" width="14.28515625" style="975" bestFit="1" customWidth="1"/>
    <col min="4873" max="4873" width="18.85546875" style="975" customWidth="1"/>
    <col min="4874" max="4874" width="15.5703125" style="975" customWidth="1"/>
    <col min="4875" max="4875" width="16.140625" style="975" customWidth="1"/>
    <col min="4876" max="4877" width="15" style="975" customWidth="1"/>
    <col min="4878" max="4878" width="13.5703125" style="975" customWidth="1"/>
    <col min="4879" max="4879" width="15" style="975" customWidth="1"/>
    <col min="4880" max="4881" width="17.5703125" style="975" customWidth="1"/>
    <col min="4882" max="4882" width="33" style="975" customWidth="1"/>
    <col min="4883" max="4883" width="15" style="975" customWidth="1"/>
    <col min="4884" max="4885" width="14.5703125" style="975" bestFit="1" customWidth="1"/>
    <col min="4886" max="4886" width="10.5703125" style="975" bestFit="1" customWidth="1"/>
    <col min="4887" max="5120" width="10" style="975"/>
    <col min="5121" max="5121" width="9.42578125" style="975" customWidth="1"/>
    <col min="5122" max="5122" width="20.85546875" style="975" customWidth="1"/>
    <col min="5123" max="5123" width="35.5703125" style="975" customWidth="1"/>
    <col min="5124" max="5124" width="12.85546875" style="975" customWidth="1"/>
    <col min="5125" max="5125" width="10.42578125" style="975" customWidth="1"/>
    <col min="5126" max="5126" width="16.42578125" style="975" customWidth="1"/>
    <col min="5127" max="5127" width="12" style="975" customWidth="1"/>
    <col min="5128" max="5128" width="14.28515625" style="975" bestFit="1" customWidth="1"/>
    <col min="5129" max="5129" width="18.85546875" style="975" customWidth="1"/>
    <col min="5130" max="5130" width="15.5703125" style="975" customWidth="1"/>
    <col min="5131" max="5131" width="16.140625" style="975" customWidth="1"/>
    <col min="5132" max="5133" width="15" style="975" customWidth="1"/>
    <col min="5134" max="5134" width="13.5703125" style="975" customWidth="1"/>
    <col min="5135" max="5135" width="15" style="975" customWidth="1"/>
    <col min="5136" max="5137" width="17.5703125" style="975" customWidth="1"/>
    <col min="5138" max="5138" width="33" style="975" customWidth="1"/>
    <col min="5139" max="5139" width="15" style="975" customWidth="1"/>
    <col min="5140" max="5141" width="14.5703125" style="975" bestFit="1" customWidth="1"/>
    <col min="5142" max="5142" width="10.5703125" style="975" bestFit="1" customWidth="1"/>
    <col min="5143" max="5376" width="10" style="975"/>
    <col min="5377" max="5377" width="9.42578125" style="975" customWidth="1"/>
    <col min="5378" max="5378" width="20.85546875" style="975" customWidth="1"/>
    <col min="5379" max="5379" width="35.5703125" style="975" customWidth="1"/>
    <col min="5380" max="5380" width="12.85546875" style="975" customWidth="1"/>
    <col min="5381" max="5381" width="10.42578125" style="975" customWidth="1"/>
    <col min="5382" max="5382" width="16.42578125" style="975" customWidth="1"/>
    <col min="5383" max="5383" width="12" style="975" customWidth="1"/>
    <col min="5384" max="5384" width="14.28515625" style="975" bestFit="1" customWidth="1"/>
    <col min="5385" max="5385" width="18.85546875" style="975" customWidth="1"/>
    <col min="5386" max="5386" width="15.5703125" style="975" customWidth="1"/>
    <col min="5387" max="5387" width="16.140625" style="975" customWidth="1"/>
    <col min="5388" max="5389" width="15" style="975" customWidth="1"/>
    <col min="5390" max="5390" width="13.5703125" style="975" customWidth="1"/>
    <col min="5391" max="5391" width="15" style="975" customWidth="1"/>
    <col min="5392" max="5393" width="17.5703125" style="975" customWidth="1"/>
    <col min="5394" max="5394" width="33" style="975" customWidth="1"/>
    <col min="5395" max="5395" width="15" style="975" customWidth="1"/>
    <col min="5396" max="5397" width="14.5703125" style="975" bestFit="1" customWidth="1"/>
    <col min="5398" max="5398" width="10.5703125" style="975" bestFit="1" customWidth="1"/>
    <col min="5399" max="5632" width="10" style="975"/>
    <col min="5633" max="5633" width="9.42578125" style="975" customWidth="1"/>
    <col min="5634" max="5634" width="20.85546875" style="975" customWidth="1"/>
    <col min="5635" max="5635" width="35.5703125" style="975" customWidth="1"/>
    <col min="5636" max="5636" width="12.85546875" style="975" customWidth="1"/>
    <col min="5637" max="5637" width="10.42578125" style="975" customWidth="1"/>
    <col min="5638" max="5638" width="16.42578125" style="975" customWidth="1"/>
    <col min="5639" max="5639" width="12" style="975" customWidth="1"/>
    <col min="5640" max="5640" width="14.28515625" style="975" bestFit="1" customWidth="1"/>
    <col min="5641" max="5641" width="18.85546875" style="975" customWidth="1"/>
    <col min="5642" max="5642" width="15.5703125" style="975" customWidth="1"/>
    <col min="5643" max="5643" width="16.140625" style="975" customWidth="1"/>
    <col min="5644" max="5645" width="15" style="975" customWidth="1"/>
    <col min="5646" max="5646" width="13.5703125" style="975" customWidth="1"/>
    <col min="5647" max="5647" width="15" style="975" customWidth="1"/>
    <col min="5648" max="5649" width="17.5703125" style="975" customWidth="1"/>
    <col min="5650" max="5650" width="33" style="975" customWidth="1"/>
    <col min="5651" max="5651" width="15" style="975" customWidth="1"/>
    <col min="5652" max="5653" width="14.5703125" style="975" bestFit="1" customWidth="1"/>
    <col min="5654" max="5654" width="10.5703125" style="975" bestFit="1" customWidth="1"/>
    <col min="5655" max="5888" width="10" style="975"/>
    <col min="5889" max="5889" width="9.42578125" style="975" customWidth="1"/>
    <col min="5890" max="5890" width="20.85546875" style="975" customWidth="1"/>
    <col min="5891" max="5891" width="35.5703125" style="975" customWidth="1"/>
    <col min="5892" max="5892" width="12.85546875" style="975" customWidth="1"/>
    <col min="5893" max="5893" width="10.42578125" style="975" customWidth="1"/>
    <col min="5894" max="5894" width="16.42578125" style="975" customWidth="1"/>
    <col min="5895" max="5895" width="12" style="975" customWidth="1"/>
    <col min="5896" max="5896" width="14.28515625" style="975" bestFit="1" customWidth="1"/>
    <col min="5897" max="5897" width="18.85546875" style="975" customWidth="1"/>
    <col min="5898" max="5898" width="15.5703125" style="975" customWidth="1"/>
    <col min="5899" max="5899" width="16.140625" style="975" customWidth="1"/>
    <col min="5900" max="5901" width="15" style="975" customWidth="1"/>
    <col min="5902" max="5902" width="13.5703125" style="975" customWidth="1"/>
    <col min="5903" max="5903" width="15" style="975" customWidth="1"/>
    <col min="5904" max="5905" width="17.5703125" style="975" customWidth="1"/>
    <col min="5906" max="5906" width="33" style="975" customWidth="1"/>
    <col min="5907" max="5907" width="15" style="975" customWidth="1"/>
    <col min="5908" max="5909" width="14.5703125" style="975" bestFit="1" customWidth="1"/>
    <col min="5910" max="5910" width="10.5703125" style="975" bestFit="1" customWidth="1"/>
    <col min="5911" max="6144" width="10" style="975"/>
    <col min="6145" max="6145" width="9.42578125" style="975" customWidth="1"/>
    <col min="6146" max="6146" width="20.85546875" style="975" customWidth="1"/>
    <col min="6147" max="6147" width="35.5703125" style="975" customWidth="1"/>
    <col min="6148" max="6148" width="12.85546875" style="975" customWidth="1"/>
    <col min="6149" max="6149" width="10.42578125" style="975" customWidth="1"/>
    <col min="6150" max="6150" width="16.42578125" style="975" customWidth="1"/>
    <col min="6151" max="6151" width="12" style="975" customWidth="1"/>
    <col min="6152" max="6152" width="14.28515625" style="975" bestFit="1" customWidth="1"/>
    <col min="6153" max="6153" width="18.85546875" style="975" customWidth="1"/>
    <col min="6154" max="6154" width="15.5703125" style="975" customWidth="1"/>
    <col min="6155" max="6155" width="16.140625" style="975" customWidth="1"/>
    <col min="6156" max="6157" width="15" style="975" customWidth="1"/>
    <col min="6158" max="6158" width="13.5703125" style="975" customWidth="1"/>
    <col min="6159" max="6159" width="15" style="975" customWidth="1"/>
    <col min="6160" max="6161" width="17.5703125" style="975" customWidth="1"/>
    <col min="6162" max="6162" width="33" style="975" customWidth="1"/>
    <col min="6163" max="6163" width="15" style="975" customWidth="1"/>
    <col min="6164" max="6165" width="14.5703125" style="975" bestFit="1" customWidth="1"/>
    <col min="6166" max="6166" width="10.5703125" style="975" bestFit="1" customWidth="1"/>
    <col min="6167" max="6400" width="10" style="975"/>
    <col min="6401" max="6401" width="9.42578125" style="975" customWidth="1"/>
    <col min="6402" max="6402" width="20.85546875" style="975" customWidth="1"/>
    <col min="6403" max="6403" width="35.5703125" style="975" customWidth="1"/>
    <col min="6404" max="6404" width="12.85546875" style="975" customWidth="1"/>
    <col min="6405" max="6405" width="10.42578125" style="975" customWidth="1"/>
    <col min="6406" max="6406" width="16.42578125" style="975" customWidth="1"/>
    <col min="6407" max="6407" width="12" style="975" customWidth="1"/>
    <col min="6408" max="6408" width="14.28515625" style="975" bestFit="1" customWidth="1"/>
    <col min="6409" max="6409" width="18.85546875" style="975" customWidth="1"/>
    <col min="6410" max="6410" width="15.5703125" style="975" customWidth="1"/>
    <col min="6411" max="6411" width="16.140625" style="975" customWidth="1"/>
    <col min="6412" max="6413" width="15" style="975" customWidth="1"/>
    <col min="6414" max="6414" width="13.5703125" style="975" customWidth="1"/>
    <col min="6415" max="6415" width="15" style="975" customWidth="1"/>
    <col min="6416" max="6417" width="17.5703125" style="975" customWidth="1"/>
    <col min="6418" max="6418" width="33" style="975" customWidth="1"/>
    <col min="6419" max="6419" width="15" style="975" customWidth="1"/>
    <col min="6420" max="6421" width="14.5703125" style="975" bestFit="1" customWidth="1"/>
    <col min="6422" max="6422" width="10.5703125" style="975" bestFit="1" customWidth="1"/>
    <col min="6423" max="6656" width="10" style="975"/>
    <col min="6657" max="6657" width="9.42578125" style="975" customWidth="1"/>
    <col min="6658" max="6658" width="20.85546875" style="975" customWidth="1"/>
    <col min="6659" max="6659" width="35.5703125" style="975" customWidth="1"/>
    <col min="6660" max="6660" width="12.85546875" style="975" customWidth="1"/>
    <col min="6661" max="6661" width="10.42578125" style="975" customWidth="1"/>
    <col min="6662" max="6662" width="16.42578125" style="975" customWidth="1"/>
    <col min="6663" max="6663" width="12" style="975" customWidth="1"/>
    <col min="6664" max="6664" width="14.28515625" style="975" bestFit="1" customWidth="1"/>
    <col min="6665" max="6665" width="18.85546875" style="975" customWidth="1"/>
    <col min="6666" max="6666" width="15.5703125" style="975" customWidth="1"/>
    <col min="6667" max="6667" width="16.140625" style="975" customWidth="1"/>
    <col min="6668" max="6669" width="15" style="975" customWidth="1"/>
    <col min="6670" max="6670" width="13.5703125" style="975" customWidth="1"/>
    <col min="6671" max="6671" width="15" style="975" customWidth="1"/>
    <col min="6672" max="6673" width="17.5703125" style="975" customWidth="1"/>
    <col min="6674" max="6674" width="33" style="975" customWidth="1"/>
    <col min="6675" max="6675" width="15" style="975" customWidth="1"/>
    <col min="6676" max="6677" width="14.5703125" style="975" bestFit="1" customWidth="1"/>
    <col min="6678" max="6678" width="10.5703125" style="975" bestFit="1" customWidth="1"/>
    <col min="6679" max="6912" width="10" style="975"/>
    <col min="6913" max="6913" width="9.42578125" style="975" customWidth="1"/>
    <col min="6914" max="6914" width="20.85546875" style="975" customWidth="1"/>
    <col min="6915" max="6915" width="35.5703125" style="975" customWidth="1"/>
    <col min="6916" max="6916" width="12.85546875" style="975" customWidth="1"/>
    <col min="6917" max="6917" width="10.42578125" style="975" customWidth="1"/>
    <col min="6918" max="6918" width="16.42578125" style="975" customWidth="1"/>
    <col min="6919" max="6919" width="12" style="975" customWidth="1"/>
    <col min="6920" max="6920" width="14.28515625" style="975" bestFit="1" customWidth="1"/>
    <col min="6921" max="6921" width="18.85546875" style="975" customWidth="1"/>
    <col min="6922" max="6922" width="15.5703125" style="975" customWidth="1"/>
    <col min="6923" max="6923" width="16.140625" style="975" customWidth="1"/>
    <col min="6924" max="6925" width="15" style="975" customWidth="1"/>
    <col min="6926" max="6926" width="13.5703125" style="975" customWidth="1"/>
    <col min="6927" max="6927" width="15" style="975" customWidth="1"/>
    <col min="6928" max="6929" width="17.5703125" style="975" customWidth="1"/>
    <col min="6930" max="6930" width="33" style="975" customWidth="1"/>
    <col min="6931" max="6931" width="15" style="975" customWidth="1"/>
    <col min="6932" max="6933" width="14.5703125" style="975" bestFit="1" customWidth="1"/>
    <col min="6934" max="6934" width="10.5703125" style="975" bestFit="1" customWidth="1"/>
    <col min="6935" max="7168" width="10" style="975"/>
    <col min="7169" max="7169" width="9.42578125" style="975" customWidth="1"/>
    <col min="7170" max="7170" width="20.85546875" style="975" customWidth="1"/>
    <col min="7171" max="7171" width="35.5703125" style="975" customWidth="1"/>
    <col min="7172" max="7172" width="12.85546875" style="975" customWidth="1"/>
    <col min="7173" max="7173" width="10.42578125" style="975" customWidth="1"/>
    <col min="7174" max="7174" width="16.42578125" style="975" customWidth="1"/>
    <col min="7175" max="7175" width="12" style="975" customWidth="1"/>
    <col min="7176" max="7176" width="14.28515625" style="975" bestFit="1" customWidth="1"/>
    <col min="7177" max="7177" width="18.85546875" style="975" customWidth="1"/>
    <col min="7178" max="7178" width="15.5703125" style="975" customWidth="1"/>
    <col min="7179" max="7179" width="16.140625" style="975" customWidth="1"/>
    <col min="7180" max="7181" width="15" style="975" customWidth="1"/>
    <col min="7182" max="7182" width="13.5703125" style="975" customWidth="1"/>
    <col min="7183" max="7183" width="15" style="975" customWidth="1"/>
    <col min="7184" max="7185" width="17.5703125" style="975" customWidth="1"/>
    <col min="7186" max="7186" width="33" style="975" customWidth="1"/>
    <col min="7187" max="7187" width="15" style="975" customWidth="1"/>
    <col min="7188" max="7189" width="14.5703125" style="975" bestFit="1" customWidth="1"/>
    <col min="7190" max="7190" width="10.5703125" style="975" bestFit="1" customWidth="1"/>
    <col min="7191" max="7424" width="10" style="975"/>
    <col min="7425" max="7425" width="9.42578125" style="975" customWidth="1"/>
    <col min="7426" max="7426" width="20.85546875" style="975" customWidth="1"/>
    <col min="7427" max="7427" width="35.5703125" style="975" customWidth="1"/>
    <col min="7428" max="7428" width="12.85546875" style="975" customWidth="1"/>
    <col min="7429" max="7429" width="10.42578125" style="975" customWidth="1"/>
    <col min="7430" max="7430" width="16.42578125" style="975" customWidth="1"/>
    <col min="7431" max="7431" width="12" style="975" customWidth="1"/>
    <col min="7432" max="7432" width="14.28515625" style="975" bestFit="1" customWidth="1"/>
    <col min="7433" max="7433" width="18.85546875" style="975" customWidth="1"/>
    <col min="7434" max="7434" width="15.5703125" style="975" customWidth="1"/>
    <col min="7435" max="7435" width="16.140625" style="975" customWidth="1"/>
    <col min="7436" max="7437" width="15" style="975" customWidth="1"/>
    <col min="7438" max="7438" width="13.5703125" style="975" customWidth="1"/>
    <col min="7439" max="7439" width="15" style="975" customWidth="1"/>
    <col min="7440" max="7441" width="17.5703125" style="975" customWidth="1"/>
    <col min="7442" max="7442" width="33" style="975" customWidth="1"/>
    <col min="7443" max="7443" width="15" style="975" customWidth="1"/>
    <col min="7444" max="7445" width="14.5703125" style="975" bestFit="1" customWidth="1"/>
    <col min="7446" max="7446" width="10.5703125" style="975" bestFit="1" customWidth="1"/>
    <col min="7447" max="7680" width="10" style="975"/>
    <col min="7681" max="7681" width="9.42578125" style="975" customWidth="1"/>
    <col min="7682" max="7682" width="20.85546875" style="975" customWidth="1"/>
    <col min="7683" max="7683" width="35.5703125" style="975" customWidth="1"/>
    <col min="7684" max="7684" width="12.85546875" style="975" customWidth="1"/>
    <col min="7685" max="7685" width="10.42578125" style="975" customWidth="1"/>
    <col min="7686" max="7686" width="16.42578125" style="975" customWidth="1"/>
    <col min="7687" max="7687" width="12" style="975" customWidth="1"/>
    <col min="7688" max="7688" width="14.28515625" style="975" bestFit="1" customWidth="1"/>
    <col min="7689" max="7689" width="18.85546875" style="975" customWidth="1"/>
    <col min="7690" max="7690" width="15.5703125" style="975" customWidth="1"/>
    <col min="7691" max="7691" width="16.140625" style="975" customWidth="1"/>
    <col min="7692" max="7693" width="15" style="975" customWidth="1"/>
    <col min="7694" max="7694" width="13.5703125" style="975" customWidth="1"/>
    <col min="7695" max="7695" width="15" style="975" customWidth="1"/>
    <col min="7696" max="7697" width="17.5703125" style="975" customWidth="1"/>
    <col min="7698" max="7698" width="33" style="975" customWidth="1"/>
    <col min="7699" max="7699" width="15" style="975" customWidth="1"/>
    <col min="7700" max="7701" width="14.5703125" style="975" bestFit="1" customWidth="1"/>
    <col min="7702" max="7702" width="10.5703125" style="975" bestFit="1" customWidth="1"/>
    <col min="7703" max="7936" width="10" style="975"/>
    <col min="7937" max="7937" width="9.42578125" style="975" customWidth="1"/>
    <col min="7938" max="7938" width="20.85546875" style="975" customWidth="1"/>
    <col min="7939" max="7939" width="35.5703125" style="975" customWidth="1"/>
    <col min="7940" max="7940" width="12.85546875" style="975" customWidth="1"/>
    <col min="7941" max="7941" width="10.42578125" style="975" customWidth="1"/>
    <col min="7942" max="7942" width="16.42578125" style="975" customWidth="1"/>
    <col min="7943" max="7943" width="12" style="975" customWidth="1"/>
    <col min="7944" max="7944" width="14.28515625" style="975" bestFit="1" customWidth="1"/>
    <col min="7945" max="7945" width="18.85546875" style="975" customWidth="1"/>
    <col min="7946" max="7946" width="15.5703125" style="975" customWidth="1"/>
    <col min="7947" max="7947" width="16.140625" style="975" customWidth="1"/>
    <col min="7948" max="7949" width="15" style="975" customWidth="1"/>
    <col min="7950" max="7950" width="13.5703125" style="975" customWidth="1"/>
    <col min="7951" max="7951" width="15" style="975" customWidth="1"/>
    <col min="7952" max="7953" width="17.5703125" style="975" customWidth="1"/>
    <col min="7954" max="7954" width="33" style="975" customWidth="1"/>
    <col min="7955" max="7955" width="15" style="975" customWidth="1"/>
    <col min="7956" max="7957" width="14.5703125" style="975" bestFit="1" customWidth="1"/>
    <col min="7958" max="7958" width="10.5703125" style="975" bestFit="1" customWidth="1"/>
    <col min="7959" max="8192" width="10" style="975"/>
    <col min="8193" max="8193" width="9.42578125" style="975" customWidth="1"/>
    <col min="8194" max="8194" width="20.85546875" style="975" customWidth="1"/>
    <col min="8195" max="8195" width="35.5703125" style="975" customWidth="1"/>
    <col min="8196" max="8196" width="12.85546875" style="975" customWidth="1"/>
    <col min="8197" max="8197" width="10.42578125" style="975" customWidth="1"/>
    <col min="8198" max="8198" width="16.42578125" style="975" customWidth="1"/>
    <col min="8199" max="8199" width="12" style="975" customWidth="1"/>
    <col min="8200" max="8200" width="14.28515625" style="975" bestFit="1" customWidth="1"/>
    <col min="8201" max="8201" width="18.85546875" style="975" customWidth="1"/>
    <col min="8202" max="8202" width="15.5703125" style="975" customWidth="1"/>
    <col min="8203" max="8203" width="16.140625" style="975" customWidth="1"/>
    <col min="8204" max="8205" width="15" style="975" customWidth="1"/>
    <col min="8206" max="8206" width="13.5703125" style="975" customWidth="1"/>
    <col min="8207" max="8207" width="15" style="975" customWidth="1"/>
    <col min="8208" max="8209" width="17.5703125" style="975" customWidth="1"/>
    <col min="8210" max="8210" width="33" style="975" customWidth="1"/>
    <col min="8211" max="8211" width="15" style="975" customWidth="1"/>
    <col min="8212" max="8213" width="14.5703125" style="975" bestFit="1" customWidth="1"/>
    <col min="8214" max="8214" width="10.5703125" style="975" bestFit="1" customWidth="1"/>
    <col min="8215" max="8448" width="10" style="975"/>
    <col min="8449" max="8449" width="9.42578125" style="975" customWidth="1"/>
    <col min="8450" max="8450" width="20.85546875" style="975" customWidth="1"/>
    <col min="8451" max="8451" width="35.5703125" style="975" customWidth="1"/>
    <col min="8452" max="8452" width="12.85546875" style="975" customWidth="1"/>
    <col min="8453" max="8453" width="10.42578125" style="975" customWidth="1"/>
    <col min="8454" max="8454" width="16.42578125" style="975" customWidth="1"/>
    <col min="8455" max="8455" width="12" style="975" customWidth="1"/>
    <col min="8456" max="8456" width="14.28515625" style="975" bestFit="1" customWidth="1"/>
    <col min="8457" max="8457" width="18.85546875" style="975" customWidth="1"/>
    <col min="8458" max="8458" width="15.5703125" style="975" customWidth="1"/>
    <col min="8459" max="8459" width="16.140625" style="975" customWidth="1"/>
    <col min="8460" max="8461" width="15" style="975" customWidth="1"/>
    <col min="8462" max="8462" width="13.5703125" style="975" customWidth="1"/>
    <col min="8463" max="8463" width="15" style="975" customWidth="1"/>
    <col min="8464" max="8465" width="17.5703125" style="975" customWidth="1"/>
    <col min="8466" max="8466" width="33" style="975" customWidth="1"/>
    <col min="8467" max="8467" width="15" style="975" customWidth="1"/>
    <col min="8468" max="8469" width="14.5703125" style="975" bestFit="1" customWidth="1"/>
    <col min="8470" max="8470" width="10.5703125" style="975" bestFit="1" customWidth="1"/>
    <col min="8471" max="8704" width="10" style="975"/>
    <col min="8705" max="8705" width="9.42578125" style="975" customWidth="1"/>
    <col min="8706" max="8706" width="20.85546875" style="975" customWidth="1"/>
    <col min="8707" max="8707" width="35.5703125" style="975" customWidth="1"/>
    <col min="8708" max="8708" width="12.85546875" style="975" customWidth="1"/>
    <col min="8709" max="8709" width="10.42578125" style="975" customWidth="1"/>
    <col min="8710" max="8710" width="16.42578125" style="975" customWidth="1"/>
    <col min="8711" max="8711" width="12" style="975" customWidth="1"/>
    <col min="8712" max="8712" width="14.28515625" style="975" bestFit="1" customWidth="1"/>
    <col min="8713" max="8713" width="18.85546875" style="975" customWidth="1"/>
    <col min="8714" max="8714" width="15.5703125" style="975" customWidth="1"/>
    <col min="8715" max="8715" width="16.140625" style="975" customWidth="1"/>
    <col min="8716" max="8717" width="15" style="975" customWidth="1"/>
    <col min="8718" max="8718" width="13.5703125" style="975" customWidth="1"/>
    <col min="8719" max="8719" width="15" style="975" customWidth="1"/>
    <col min="8720" max="8721" width="17.5703125" style="975" customWidth="1"/>
    <col min="8722" max="8722" width="33" style="975" customWidth="1"/>
    <col min="8723" max="8723" width="15" style="975" customWidth="1"/>
    <col min="8724" max="8725" width="14.5703125" style="975" bestFit="1" customWidth="1"/>
    <col min="8726" max="8726" width="10.5703125" style="975" bestFit="1" customWidth="1"/>
    <col min="8727" max="8960" width="10" style="975"/>
    <col min="8961" max="8961" width="9.42578125" style="975" customWidth="1"/>
    <col min="8962" max="8962" width="20.85546875" style="975" customWidth="1"/>
    <col min="8963" max="8963" width="35.5703125" style="975" customWidth="1"/>
    <col min="8964" max="8964" width="12.85546875" style="975" customWidth="1"/>
    <col min="8965" max="8965" width="10.42578125" style="975" customWidth="1"/>
    <col min="8966" max="8966" width="16.42578125" style="975" customWidth="1"/>
    <col min="8967" max="8967" width="12" style="975" customWidth="1"/>
    <col min="8968" max="8968" width="14.28515625" style="975" bestFit="1" customWidth="1"/>
    <col min="8969" max="8969" width="18.85546875" style="975" customWidth="1"/>
    <col min="8970" max="8970" width="15.5703125" style="975" customWidth="1"/>
    <col min="8971" max="8971" width="16.140625" style="975" customWidth="1"/>
    <col min="8972" max="8973" width="15" style="975" customWidth="1"/>
    <col min="8974" max="8974" width="13.5703125" style="975" customWidth="1"/>
    <col min="8975" max="8975" width="15" style="975" customWidth="1"/>
    <col min="8976" max="8977" width="17.5703125" style="975" customWidth="1"/>
    <col min="8978" max="8978" width="33" style="975" customWidth="1"/>
    <col min="8979" max="8979" width="15" style="975" customWidth="1"/>
    <col min="8980" max="8981" width="14.5703125" style="975" bestFit="1" customWidth="1"/>
    <col min="8982" max="8982" width="10.5703125" style="975" bestFit="1" customWidth="1"/>
    <col min="8983" max="9216" width="10" style="975"/>
    <col min="9217" max="9217" width="9.42578125" style="975" customWidth="1"/>
    <col min="9218" max="9218" width="20.85546875" style="975" customWidth="1"/>
    <col min="9219" max="9219" width="35.5703125" style="975" customWidth="1"/>
    <col min="9220" max="9220" width="12.85546875" style="975" customWidth="1"/>
    <col min="9221" max="9221" width="10.42578125" style="975" customWidth="1"/>
    <col min="9222" max="9222" width="16.42578125" style="975" customWidth="1"/>
    <col min="9223" max="9223" width="12" style="975" customWidth="1"/>
    <col min="9224" max="9224" width="14.28515625" style="975" bestFit="1" customWidth="1"/>
    <col min="9225" max="9225" width="18.85546875" style="975" customWidth="1"/>
    <col min="9226" max="9226" width="15.5703125" style="975" customWidth="1"/>
    <col min="9227" max="9227" width="16.140625" style="975" customWidth="1"/>
    <col min="9228" max="9229" width="15" style="975" customWidth="1"/>
    <col min="9230" max="9230" width="13.5703125" style="975" customWidth="1"/>
    <col min="9231" max="9231" width="15" style="975" customWidth="1"/>
    <col min="9232" max="9233" width="17.5703125" style="975" customWidth="1"/>
    <col min="9234" max="9234" width="33" style="975" customWidth="1"/>
    <col min="9235" max="9235" width="15" style="975" customWidth="1"/>
    <col min="9236" max="9237" width="14.5703125" style="975" bestFit="1" customWidth="1"/>
    <col min="9238" max="9238" width="10.5703125" style="975" bestFit="1" customWidth="1"/>
    <col min="9239" max="9472" width="10" style="975"/>
    <col min="9473" max="9473" width="9.42578125" style="975" customWidth="1"/>
    <col min="9474" max="9474" width="20.85546875" style="975" customWidth="1"/>
    <col min="9475" max="9475" width="35.5703125" style="975" customWidth="1"/>
    <col min="9476" max="9476" width="12.85546875" style="975" customWidth="1"/>
    <col min="9477" max="9477" width="10.42578125" style="975" customWidth="1"/>
    <col min="9478" max="9478" width="16.42578125" style="975" customWidth="1"/>
    <col min="9479" max="9479" width="12" style="975" customWidth="1"/>
    <col min="9480" max="9480" width="14.28515625" style="975" bestFit="1" customWidth="1"/>
    <col min="9481" max="9481" width="18.85546875" style="975" customWidth="1"/>
    <col min="9482" max="9482" width="15.5703125" style="975" customWidth="1"/>
    <col min="9483" max="9483" width="16.140625" style="975" customWidth="1"/>
    <col min="9484" max="9485" width="15" style="975" customWidth="1"/>
    <col min="9486" max="9486" width="13.5703125" style="975" customWidth="1"/>
    <col min="9487" max="9487" width="15" style="975" customWidth="1"/>
    <col min="9488" max="9489" width="17.5703125" style="975" customWidth="1"/>
    <col min="9490" max="9490" width="33" style="975" customWidth="1"/>
    <col min="9491" max="9491" width="15" style="975" customWidth="1"/>
    <col min="9492" max="9493" width="14.5703125" style="975" bestFit="1" customWidth="1"/>
    <col min="9494" max="9494" width="10.5703125" style="975" bestFit="1" customWidth="1"/>
    <col min="9495" max="9728" width="10" style="975"/>
    <col min="9729" max="9729" width="9.42578125" style="975" customWidth="1"/>
    <col min="9730" max="9730" width="20.85546875" style="975" customWidth="1"/>
    <col min="9731" max="9731" width="35.5703125" style="975" customWidth="1"/>
    <col min="9732" max="9732" width="12.85546875" style="975" customWidth="1"/>
    <col min="9733" max="9733" width="10.42578125" style="975" customWidth="1"/>
    <col min="9734" max="9734" width="16.42578125" style="975" customWidth="1"/>
    <col min="9735" max="9735" width="12" style="975" customWidth="1"/>
    <col min="9736" max="9736" width="14.28515625" style="975" bestFit="1" customWidth="1"/>
    <col min="9737" max="9737" width="18.85546875" style="975" customWidth="1"/>
    <col min="9738" max="9738" width="15.5703125" style="975" customWidth="1"/>
    <col min="9739" max="9739" width="16.140625" style="975" customWidth="1"/>
    <col min="9740" max="9741" width="15" style="975" customWidth="1"/>
    <col min="9742" max="9742" width="13.5703125" style="975" customWidth="1"/>
    <col min="9743" max="9743" width="15" style="975" customWidth="1"/>
    <col min="9744" max="9745" width="17.5703125" style="975" customWidth="1"/>
    <col min="9746" max="9746" width="33" style="975" customWidth="1"/>
    <col min="9747" max="9747" width="15" style="975" customWidth="1"/>
    <col min="9748" max="9749" width="14.5703125" style="975" bestFit="1" customWidth="1"/>
    <col min="9750" max="9750" width="10.5703125" style="975" bestFit="1" customWidth="1"/>
    <col min="9751" max="9984" width="10" style="975"/>
    <col min="9985" max="9985" width="9.42578125" style="975" customWidth="1"/>
    <col min="9986" max="9986" width="20.85546875" style="975" customWidth="1"/>
    <col min="9987" max="9987" width="35.5703125" style="975" customWidth="1"/>
    <col min="9988" max="9988" width="12.85546875" style="975" customWidth="1"/>
    <col min="9989" max="9989" width="10.42578125" style="975" customWidth="1"/>
    <col min="9990" max="9990" width="16.42578125" style="975" customWidth="1"/>
    <col min="9991" max="9991" width="12" style="975" customWidth="1"/>
    <col min="9992" max="9992" width="14.28515625" style="975" bestFit="1" customWidth="1"/>
    <col min="9993" max="9993" width="18.85546875" style="975" customWidth="1"/>
    <col min="9994" max="9994" width="15.5703125" style="975" customWidth="1"/>
    <col min="9995" max="9995" width="16.140625" style="975" customWidth="1"/>
    <col min="9996" max="9997" width="15" style="975" customWidth="1"/>
    <col min="9998" max="9998" width="13.5703125" style="975" customWidth="1"/>
    <col min="9999" max="9999" width="15" style="975" customWidth="1"/>
    <col min="10000" max="10001" width="17.5703125" style="975" customWidth="1"/>
    <col min="10002" max="10002" width="33" style="975" customWidth="1"/>
    <col min="10003" max="10003" width="15" style="975" customWidth="1"/>
    <col min="10004" max="10005" width="14.5703125" style="975" bestFit="1" customWidth="1"/>
    <col min="10006" max="10006" width="10.5703125" style="975" bestFit="1" customWidth="1"/>
    <col min="10007" max="10240" width="10" style="975"/>
    <col min="10241" max="10241" width="9.42578125" style="975" customWidth="1"/>
    <col min="10242" max="10242" width="20.85546875" style="975" customWidth="1"/>
    <col min="10243" max="10243" width="35.5703125" style="975" customWidth="1"/>
    <col min="10244" max="10244" width="12.85546875" style="975" customWidth="1"/>
    <col min="10245" max="10245" width="10.42578125" style="975" customWidth="1"/>
    <col min="10246" max="10246" width="16.42578125" style="975" customWidth="1"/>
    <col min="10247" max="10247" width="12" style="975" customWidth="1"/>
    <col min="10248" max="10248" width="14.28515625" style="975" bestFit="1" customWidth="1"/>
    <col min="10249" max="10249" width="18.85546875" style="975" customWidth="1"/>
    <col min="10250" max="10250" width="15.5703125" style="975" customWidth="1"/>
    <col min="10251" max="10251" width="16.140625" style="975" customWidth="1"/>
    <col min="10252" max="10253" width="15" style="975" customWidth="1"/>
    <col min="10254" max="10254" width="13.5703125" style="975" customWidth="1"/>
    <col min="10255" max="10255" width="15" style="975" customWidth="1"/>
    <col min="10256" max="10257" width="17.5703125" style="975" customWidth="1"/>
    <col min="10258" max="10258" width="33" style="975" customWidth="1"/>
    <col min="10259" max="10259" width="15" style="975" customWidth="1"/>
    <col min="10260" max="10261" width="14.5703125" style="975" bestFit="1" customWidth="1"/>
    <col min="10262" max="10262" width="10.5703125" style="975" bestFit="1" customWidth="1"/>
    <col min="10263" max="10496" width="10" style="975"/>
    <col min="10497" max="10497" width="9.42578125" style="975" customWidth="1"/>
    <col min="10498" max="10498" width="20.85546875" style="975" customWidth="1"/>
    <col min="10499" max="10499" width="35.5703125" style="975" customWidth="1"/>
    <col min="10500" max="10500" width="12.85546875" style="975" customWidth="1"/>
    <col min="10501" max="10501" width="10.42578125" style="975" customWidth="1"/>
    <col min="10502" max="10502" width="16.42578125" style="975" customWidth="1"/>
    <col min="10503" max="10503" width="12" style="975" customWidth="1"/>
    <col min="10504" max="10504" width="14.28515625" style="975" bestFit="1" customWidth="1"/>
    <col min="10505" max="10505" width="18.85546875" style="975" customWidth="1"/>
    <col min="10506" max="10506" width="15.5703125" style="975" customWidth="1"/>
    <col min="10507" max="10507" width="16.140625" style="975" customWidth="1"/>
    <col min="10508" max="10509" width="15" style="975" customWidth="1"/>
    <col min="10510" max="10510" width="13.5703125" style="975" customWidth="1"/>
    <col min="10511" max="10511" width="15" style="975" customWidth="1"/>
    <col min="10512" max="10513" width="17.5703125" style="975" customWidth="1"/>
    <col min="10514" max="10514" width="33" style="975" customWidth="1"/>
    <col min="10515" max="10515" width="15" style="975" customWidth="1"/>
    <col min="10516" max="10517" width="14.5703125" style="975" bestFit="1" customWidth="1"/>
    <col min="10518" max="10518" width="10.5703125" style="975" bestFit="1" customWidth="1"/>
    <col min="10519" max="10752" width="10" style="975"/>
    <col min="10753" max="10753" width="9.42578125" style="975" customWidth="1"/>
    <col min="10754" max="10754" width="20.85546875" style="975" customWidth="1"/>
    <col min="10755" max="10755" width="35.5703125" style="975" customWidth="1"/>
    <col min="10756" max="10756" width="12.85546875" style="975" customWidth="1"/>
    <col min="10757" max="10757" width="10.42578125" style="975" customWidth="1"/>
    <col min="10758" max="10758" width="16.42578125" style="975" customWidth="1"/>
    <col min="10759" max="10759" width="12" style="975" customWidth="1"/>
    <col min="10760" max="10760" width="14.28515625" style="975" bestFit="1" customWidth="1"/>
    <col min="10761" max="10761" width="18.85546875" style="975" customWidth="1"/>
    <col min="10762" max="10762" width="15.5703125" style="975" customWidth="1"/>
    <col min="10763" max="10763" width="16.140625" style="975" customWidth="1"/>
    <col min="10764" max="10765" width="15" style="975" customWidth="1"/>
    <col min="10766" max="10766" width="13.5703125" style="975" customWidth="1"/>
    <col min="10767" max="10767" width="15" style="975" customWidth="1"/>
    <col min="10768" max="10769" width="17.5703125" style="975" customWidth="1"/>
    <col min="10770" max="10770" width="33" style="975" customWidth="1"/>
    <col min="10771" max="10771" width="15" style="975" customWidth="1"/>
    <col min="10772" max="10773" width="14.5703125" style="975" bestFit="1" customWidth="1"/>
    <col min="10774" max="10774" width="10.5703125" style="975" bestFit="1" customWidth="1"/>
    <col min="10775" max="11008" width="10" style="975"/>
    <col min="11009" max="11009" width="9.42578125" style="975" customWidth="1"/>
    <col min="11010" max="11010" width="20.85546875" style="975" customWidth="1"/>
    <col min="11011" max="11011" width="35.5703125" style="975" customWidth="1"/>
    <col min="11012" max="11012" width="12.85546875" style="975" customWidth="1"/>
    <col min="11013" max="11013" width="10.42578125" style="975" customWidth="1"/>
    <col min="11014" max="11014" width="16.42578125" style="975" customWidth="1"/>
    <col min="11015" max="11015" width="12" style="975" customWidth="1"/>
    <col min="11016" max="11016" width="14.28515625" style="975" bestFit="1" customWidth="1"/>
    <col min="11017" max="11017" width="18.85546875" style="975" customWidth="1"/>
    <col min="11018" max="11018" width="15.5703125" style="975" customWidth="1"/>
    <col min="11019" max="11019" width="16.140625" style="975" customWidth="1"/>
    <col min="11020" max="11021" width="15" style="975" customWidth="1"/>
    <col min="11022" max="11022" width="13.5703125" style="975" customWidth="1"/>
    <col min="11023" max="11023" width="15" style="975" customWidth="1"/>
    <col min="11024" max="11025" width="17.5703125" style="975" customWidth="1"/>
    <col min="11026" max="11026" width="33" style="975" customWidth="1"/>
    <col min="11027" max="11027" width="15" style="975" customWidth="1"/>
    <col min="11028" max="11029" width="14.5703125" style="975" bestFit="1" customWidth="1"/>
    <col min="11030" max="11030" width="10.5703125" style="975" bestFit="1" customWidth="1"/>
    <col min="11031" max="11264" width="10" style="975"/>
    <col min="11265" max="11265" width="9.42578125" style="975" customWidth="1"/>
    <col min="11266" max="11266" width="20.85546875" style="975" customWidth="1"/>
    <col min="11267" max="11267" width="35.5703125" style="975" customWidth="1"/>
    <col min="11268" max="11268" width="12.85546875" style="975" customWidth="1"/>
    <col min="11269" max="11269" width="10.42578125" style="975" customWidth="1"/>
    <col min="11270" max="11270" width="16.42578125" style="975" customWidth="1"/>
    <col min="11271" max="11271" width="12" style="975" customWidth="1"/>
    <col min="11272" max="11272" width="14.28515625" style="975" bestFit="1" customWidth="1"/>
    <col min="11273" max="11273" width="18.85546875" style="975" customWidth="1"/>
    <col min="11274" max="11274" width="15.5703125" style="975" customWidth="1"/>
    <col min="11275" max="11275" width="16.140625" style="975" customWidth="1"/>
    <col min="11276" max="11277" width="15" style="975" customWidth="1"/>
    <col min="11278" max="11278" width="13.5703125" style="975" customWidth="1"/>
    <col min="11279" max="11279" width="15" style="975" customWidth="1"/>
    <col min="11280" max="11281" width="17.5703125" style="975" customWidth="1"/>
    <col min="11282" max="11282" width="33" style="975" customWidth="1"/>
    <col min="11283" max="11283" width="15" style="975" customWidth="1"/>
    <col min="11284" max="11285" width="14.5703125" style="975" bestFit="1" customWidth="1"/>
    <col min="11286" max="11286" width="10.5703125" style="975" bestFit="1" customWidth="1"/>
    <col min="11287" max="11520" width="10" style="975"/>
    <col min="11521" max="11521" width="9.42578125" style="975" customWidth="1"/>
    <col min="11522" max="11522" width="20.85546875" style="975" customWidth="1"/>
    <col min="11523" max="11523" width="35.5703125" style="975" customWidth="1"/>
    <col min="11524" max="11524" width="12.85546875" style="975" customWidth="1"/>
    <col min="11525" max="11525" width="10.42578125" style="975" customWidth="1"/>
    <col min="11526" max="11526" width="16.42578125" style="975" customWidth="1"/>
    <col min="11527" max="11527" width="12" style="975" customWidth="1"/>
    <col min="11528" max="11528" width="14.28515625" style="975" bestFit="1" customWidth="1"/>
    <col min="11529" max="11529" width="18.85546875" style="975" customWidth="1"/>
    <col min="11530" max="11530" width="15.5703125" style="975" customWidth="1"/>
    <col min="11531" max="11531" width="16.140625" style="975" customWidth="1"/>
    <col min="11532" max="11533" width="15" style="975" customWidth="1"/>
    <col min="11534" max="11534" width="13.5703125" style="975" customWidth="1"/>
    <col min="11535" max="11535" width="15" style="975" customWidth="1"/>
    <col min="11536" max="11537" width="17.5703125" style="975" customWidth="1"/>
    <col min="11538" max="11538" width="33" style="975" customWidth="1"/>
    <col min="11539" max="11539" width="15" style="975" customWidth="1"/>
    <col min="11540" max="11541" width="14.5703125" style="975" bestFit="1" customWidth="1"/>
    <col min="11542" max="11542" width="10.5703125" style="975" bestFit="1" customWidth="1"/>
    <col min="11543" max="11776" width="10" style="975"/>
    <col min="11777" max="11777" width="9.42578125" style="975" customWidth="1"/>
    <col min="11778" max="11778" width="20.85546875" style="975" customWidth="1"/>
    <col min="11779" max="11779" width="35.5703125" style="975" customWidth="1"/>
    <col min="11780" max="11780" width="12.85546875" style="975" customWidth="1"/>
    <col min="11781" max="11781" width="10.42578125" style="975" customWidth="1"/>
    <col min="11782" max="11782" width="16.42578125" style="975" customWidth="1"/>
    <col min="11783" max="11783" width="12" style="975" customWidth="1"/>
    <col min="11784" max="11784" width="14.28515625" style="975" bestFit="1" customWidth="1"/>
    <col min="11785" max="11785" width="18.85546875" style="975" customWidth="1"/>
    <col min="11786" max="11786" width="15.5703125" style="975" customWidth="1"/>
    <col min="11787" max="11787" width="16.140625" style="975" customWidth="1"/>
    <col min="11788" max="11789" width="15" style="975" customWidth="1"/>
    <col min="11790" max="11790" width="13.5703125" style="975" customWidth="1"/>
    <col min="11791" max="11791" width="15" style="975" customWidth="1"/>
    <col min="11792" max="11793" width="17.5703125" style="975" customWidth="1"/>
    <col min="11794" max="11794" width="33" style="975" customWidth="1"/>
    <col min="11795" max="11795" width="15" style="975" customWidth="1"/>
    <col min="11796" max="11797" width="14.5703125" style="975" bestFit="1" customWidth="1"/>
    <col min="11798" max="11798" width="10.5703125" style="975" bestFit="1" customWidth="1"/>
    <col min="11799" max="12032" width="10" style="975"/>
    <col min="12033" max="12033" width="9.42578125" style="975" customWidth="1"/>
    <col min="12034" max="12034" width="20.85546875" style="975" customWidth="1"/>
    <col min="12035" max="12035" width="35.5703125" style="975" customWidth="1"/>
    <col min="12036" max="12036" width="12.85546875" style="975" customWidth="1"/>
    <col min="12037" max="12037" width="10.42578125" style="975" customWidth="1"/>
    <col min="12038" max="12038" width="16.42578125" style="975" customWidth="1"/>
    <col min="12039" max="12039" width="12" style="975" customWidth="1"/>
    <col min="12040" max="12040" width="14.28515625" style="975" bestFit="1" customWidth="1"/>
    <col min="12041" max="12041" width="18.85546875" style="975" customWidth="1"/>
    <col min="12042" max="12042" width="15.5703125" style="975" customWidth="1"/>
    <col min="12043" max="12043" width="16.140625" style="975" customWidth="1"/>
    <col min="12044" max="12045" width="15" style="975" customWidth="1"/>
    <col min="12046" max="12046" width="13.5703125" style="975" customWidth="1"/>
    <col min="12047" max="12047" width="15" style="975" customWidth="1"/>
    <col min="12048" max="12049" width="17.5703125" style="975" customWidth="1"/>
    <col min="12050" max="12050" width="33" style="975" customWidth="1"/>
    <col min="12051" max="12051" width="15" style="975" customWidth="1"/>
    <col min="12052" max="12053" width="14.5703125" style="975" bestFit="1" customWidth="1"/>
    <col min="12054" max="12054" width="10.5703125" style="975" bestFit="1" customWidth="1"/>
    <col min="12055" max="12288" width="10" style="975"/>
    <col min="12289" max="12289" width="9.42578125" style="975" customWidth="1"/>
    <col min="12290" max="12290" width="20.85546875" style="975" customWidth="1"/>
    <col min="12291" max="12291" width="35.5703125" style="975" customWidth="1"/>
    <col min="12292" max="12292" width="12.85546875" style="975" customWidth="1"/>
    <col min="12293" max="12293" width="10.42578125" style="975" customWidth="1"/>
    <col min="12294" max="12294" width="16.42578125" style="975" customWidth="1"/>
    <col min="12295" max="12295" width="12" style="975" customWidth="1"/>
    <col min="12296" max="12296" width="14.28515625" style="975" bestFit="1" customWidth="1"/>
    <col min="12297" max="12297" width="18.85546875" style="975" customWidth="1"/>
    <col min="12298" max="12298" width="15.5703125" style="975" customWidth="1"/>
    <col min="12299" max="12299" width="16.140625" style="975" customWidth="1"/>
    <col min="12300" max="12301" width="15" style="975" customWidth="1"/>
    <col min="12302" max="12302" width="13.5703125" style="975" customWidth="1"/>
    <col min="12303" max="12303" width="15" style="975" customWidth="1"/>
    <col min="12304" max="12305" width="17.5703125" style="975" customWidth="1"/>
    <col min="12306" max="12306" width="33" style="975" customWidth="1"/>
    <col min="12307" max="12307" width="15" style="975" customWidth="1"/>
    <col min="12308" max="12309" width="14.5703125" style="975" bestFit="1" customWidth="1"/>
    <col min="12310" max="12310" width="10.5703125" style="975" bestFit="1" customWidth="1"/>
    <col min="12311" max="12544" width="10" style="975"/>
    <col min="12545" max="12545" width="9.42578125" style="975" customWidth="1"/>
    <col min="12546" max="12546" width="20.85546875" style="975" customWidth="1"/>
    <col min="12547" max="12547" width="35.5703125" style="975" customWidth="1"/>
    <col min="12548" max="12548" width="12.85546875" style="975" customWidth="1"/>
    <col min="12549" max="12549" width="10.42578125" style="975" customWidth="1"/>
    <col min="12550" max="12550" width="16.42578125" style="975" customWidth="1"/>
    <col min="12551" max="12551" width="12" style="975" customWidth="1"/>
    <col min="12552" max="12552" width="14.28515625" style="975" bestFit="1" customWidth="1"/>
    <col min="12553" max="12553" width="18.85546875" style="975" customWidth="1"/>
    <col min="12554" max="12554" width="15.5703125" style="975" customWidth="1"/>
    <col min="12555" max="12555" width="16.140625" style="975" customWidth="1"/>
    <col min="12556" max="12557" width="15" style="975" customWidth="1"/>
    <col min="12558" max="12558" width="13.5703125" style="975" customWidth="1"/>
    <col min="12559" max="12559" width="15" style="975" customWidth="1"/>
    <col min="12560" max="12561" width="17.5703125" style="975" customWidth="1"/>
    <col min="12562" max="12562" width="33" style="975" customWidth="1"/>
    <col min="12563" max="12563" width="15" style="975" customWidth="1"/>
    <col min="12564" max="12565" width="14.5703125" style="975" bestFit="1" customWidth="1"/>
    <col min="12566" max="12566" width="10.5703125" style="975" bestFit="1" customWidth="1"/>
    <col min="12567" max="12800" width="10" style="975"/>
    <col min="12801" max="12801" width="9.42578125" style="975" customWidth="1"/>
    <col min="12802" max="12802" width="20.85546875" style="975" customWidth="1"/>
    <col min="12803" max="12803" width="35.5703125" style="975" customWidth="1"/>
    <col min="12804" max="12804" width="12.85546875" style="975" customWidth="1"/>
    <col min="12805" max="12805" width="10.42578125" style="975" customWidth="1"/>
    <col min="12806" max="12806" width="16.42578125" style="975" customWidth="1"/>
    <col min="12807" max="12807" width="12" style="975" customWidth="1"/>
    <col min="12808" max="12808" width="14.28515625" style="975" bestFit="1" customWidth="1"/>
    <col min="12809" max="12809" width="18.85546875" style="975" customWidth="1"/>
    <col min="12810" max="12810" width="15.5703125" style="975" customWidth="1"/>
    <col min="12811" max="12811" width="16.140625" style="975" customWidth="1"/>
    <col min="12812" max="12813" width="15" style="975" customWidth="1"/>
    <col min="12814" max="12814" width="13.5703125" style="975" customWidth="1"/>
    <col min="12815" max="12815" width="15" style="975" customWidth="1"/>
    <col min="12816" max="12817" width="17.5703125" style="975" customWidth="1"/>
    <col min="12818" max="12818" width="33" style="975" customWidth="1"/>
    <col min="12819" max="12819" width="15" style="975" customWidth="1"/>
    <col min="12820" max="12821" width="14.5703125" style="975" bestFit="1" customWidth="1"/>
    <col min="12822" max="12822" width="10.5703125" style="975" bestFit="1" customWidth="1"/>
    <col min="12823" max="13056" width="10" style="975"/>
    <col min="13057" max="13057" width="9.42578125" style="975" customWidth="1"/>
    <col min="13058" max="13058" width="20.85546875" style="975" customWidth="1"/>
    <col min="13059" max="13059" width="35.5703125" style="975" customWidth="1"/>
    <col min="13060" max="13060" width="12.85546875" style="975" customWidth="1"/>
    <col min="13061" max="13061" width="10.42578125" style="975" customWidth="1"/>
    <col min="13062" max="13062" width="16.42578125" style="975" customWidth="1"/>
    <col min="13063" max="13063" width="12" style="975" customWidth="1"/>
    <col min="13064" max="13064" width="14.28515625" style="975" bestFit="1" customWidth="1"/>
    <col min="13065" max="13065" width="18.85546875" style="975" customWidth="1"/>
    <col min="13066" max="13066" width="15.5703125" style="975" customWidth="1"/>
    <col min="13067" max="13067" width="16.140625" style="975" customWidth="1"/>
    <col min="13068" max="13069" width="15" style="975" customWidth="1"/>
    <col min="13070" max="13070" width="13.5703125" style="975" customWidth="1"/>
    <col min="13071" max="13071" width="15" style="975" customWidth="1"/>
    <col min="13072" max="13073" width="17.5703125" style="975" customWidth="1"/>
    <col min="13074" max="13074" width="33" style="975" customWidth="1"/>
    <col min="13075" max="13075" width="15" style="975" customWidth="1"/>
    <col min="13076" max="13077" width="14.5703125" style="975" bestFit="1" customWidth="1"/>
    <col min="13078" max="13078" width="10.5703125" style="975" bestFit="1" customWidth="1"/>
    <col min="13079" max="13312" width="10" style="975"/>
    <col min="13313" max="13313" width="9.42578125" style="975" customWidth="1"/>
    <col min="13314" max="13314" width="20.85546875" style="975" customWidth="1"/>
    <col min="13315" max="13315" width="35.5703125" style="975" customWidth="1"/>
    <col min="13316" max="13316" width="12.85546875" style="975" customWidth="1"/>
    <col min="13317" max="13317" width="10.42578125" style="975" customWidth="1"/>
    <col min="13318" max="13318" width="16.42578125" style="975" customWidth="1"/>
    <col min="13319" max="13319" width="12" style="975" customWidth="1"/>
    <col min="13320" max="13320" width="14.28515625" style="975" bestFit="1" customWidth="1"/>
    <col min="13321" max="13321" width="18.85546875" style="975" customWidth="1"/>
    <col min="13322" max="13322" width="15.5703125" style="975" customWidth="1"/>
    <col min="13323" max="13323" width="16.140625" style="975" customWidth="1"/>
    <col min="13324" max="13325" width="15" style="975" customWidth="1"/>
    <col min="13326" max="13326" width="13.5703125" style="975" customWidth="1"/>
    <col min="13327" max="13327" width="15" style="975" customWidth="1"/>
    <col min="13328" max="13329" width="17.5703125" style="975" customWidth="1"/>
    <col min="13330" max="13330" width="33" style="975" customWidth="1"/>
    <col min="13331" max="13331" width="15" style="975" customWidth="1"/>
    <col min="13332" max="13333" width="14.5703125" style="975" bestFit="1" customWidth="1"/>
    <col min="13334" max="13334" width="10.5703125" style="975" bestFit="1" customWidth="1"/>
    <col min="13335" max="13568" width="10" style="975"/>
    <col min="13569" max="13569" width="9.42578125" style="975" customWidth="1"/>
    <col min="13570" max="13570" width="20.85546875" style="975" customWidth="1"/>
    <col min="13571" max="13571" width="35.5703125" style="975" customWidth="1"/>
    <col min="13572" max="13572" width="12.85546875" style="975" customWidth="1"/>
    <col min="13573" max="13573" width="10.42578125" style="975" customWidth="1"/>
    <col min="13574" max="13574" width="16.42578125" style="975" customWidth="1"/>
    <col min="13575" max="13575" width="12" style="975" customWidth="1"/>
    <col min="13576" max="13576" width="14.28515625" style="975" bestFit="1" customWidth="1"/>
    <col min="13577" max="13577" width="18.85546875" style="975" customWidth="1"/>
    <col min="13578" max="13578" width="15.5703125" style="975" customWidth="1"/>
    <col min="13579" max="13579" width="16.140625" style="975" customWidth="1"/>
    <col min="13580" max="13581" width="15" style="975" customWidth="1"/>
    <col min="13582" max="13582" width="13.5703125" style="975" customWidth="1"/>
    <col min="13583" max="13583" width="15" style="975" customWidth="1"/>
    <col min="13584" max="13585" width="17.5703125" style="975" customWidth="1"/>
    <col min="13586" max="13586" width="33" style="975" customWidth="1"/>
    <col min="13587" max="13587" width="15" style="975" customWidth="1"/>
    <col min="13588" max="13589" width="14.5703125" style="975" bestFit="1" customWidth="1"/>
    <col min="13590" max="13590" width="10.5703125" style="975" bestFit="1" customWidth="1"/>
    <col min="13591" max="13824" width="10" style="975"/>
    <col min="13825" max="13825" width="9.42578125" style="975" customWidth="1"/>
    <col min="13826" max="13826" width="20.85546875" style="975" customWidth="1"/>
    <col min="13827" max="13827" width="35.5703125" style="975" customWidth="1"/>
    <col min="13828" max="13828" width="12.85546875" style="975" customWidth="1"/>
    <col min="13829" max="13829" width="10.42578125" style="975" customWidth="1"/>
    <col min="13830" max="13830" width="16.42578125" style="975" customWidth="1"/>
    <col min="13831" max="13831" width="12" style="975" customWidth="1"/>
    <col min="13832" max="13832" width="14.28515625" style="975" bestFit="1" customWidth="1"/>
    <col min="13833" max="13833" width="18.85546875" style="975" customWidth="1"/>
    <col min="13834" max="13834" width="15.5703125" style="975" customWidth="1"/>
    <col min="13835" max="13835" width="16.140625" style="975" customWidth="1"/>
    <col min="13836" max="13837" width="15" style="975" customWidth="1"/>
    <col min="13838" max="13838" width="13.5703125" style="975" customWidth="1"/>
    <col min="13839" max="13839" width="15" style="975" customWidth="1"/>
    <col min="13840" max="13841" width="17.5703125" style="975" customWidth="1"/>
    <col min="13842" max="13842" width="33" style="975" customWidth="1"/>
    <col min="13843" max="13843" width="15" style="975" customWidth="1"/>
    <col min="13844" max="13845" width="14.5703125" style="975" bestFit="1" customWidth="1"/>
    <col min="13846" max="13846" width="10.5703125" style="975" bestFit="1" customWidth="1"/>
    <col min="13847" max="14080" width="10" style="975"/>
    <col min="14081" max="14081" width="9.42578125" style="975" customWidth="1"/>
    <col min="14082" max="14082" width="20.85546875" style="975" customWidth="1"/>
    <col min="14083" max="14083" width="35.5703125" style="975" customWidth="1"/>
    <col min="14084" max="14084" width="12.85546875" style="975" customWidth="1"/>
    <col min="14085" max="14085" width="10.42578125" style="975" customWidth="1"/>
    <col min="14086" max="14086" width="16.42578125" style="975" customWidth="1"/>
    <col min="14087" max="14087" width="12" style="975" customWidth="1"/>
    <col min="14088" max="14088" width="14.28515625" style="975" bestFit="1" customWidth="1"/>
    <col min="14089" max="14089" width="18.85546875" style="975" customWidth="1"/>
    <col min="14090" max="14090" width="15.5703125" style="975" customWidth="1"/>
    <col min="14091" max="14091" width="16.140625" style="975" customWidth="1"/>
    <col min="14092" max="14093" width="15" style="975" customWidth="1"/>
    <col min="14094" max="14094" width="13.5703125" style="975" customWidth="1"/>
    <col min="14095" max="14095" width="15" style="975" customWidth="1"/>
    <col min="14096" max="14097" width="17.5703125" style="975" customWidth="1"/>
    <col min="14098" max="14098" width="33" style="975" customWidth="1"/>
    <col min="14099" max="14099" width="15" style="975" customWidth="1"/>
    <col min="14100" max="14101" width="14.5703125" style="975" bestFit="1" customWidth="1"/>
    <col min="14102" max="14102" width="10.5703125" style="975" bestFit="1" customWidth="1"/>
    <col min="14103" max="14336" width="10" style="975"/>
    <col min="14337" max="14337" width="9.42578125" style="975" customWidth="1"/>
    <col min="14338" max="14338" width="20.85546875" style="975" customWidth="1"/>
    <col min="14339" max="14339" width="35.5703125" style="975" customWidth="1"/>
    <col min="14340" max="14340" width="12.85546875" style="975" customWidth="1"/>
    <col min="14341" max="14341" width="10.42578125" style="975" customWidth="1"/>
    <col min="14342" max="14342" width="16.42578125" style="975" customWidth="1"/>
    <col min="14343" max="14343" width="12" style="975" customWidth="1"/>
    <col min="14344" max="14344" width="14.28515625" style="975" bestFit="1" customWidth="1"/>
    <col min="14345" max="14345" width="18.85546875" style="975" customWidth="1"/>
    <col min="14346" max="14346" width="15.5703125" style="975" customWidth="1"/>
    <col min="14347" max="14347" width="16.140625" style="975" customWidth="1"/>
    <col min="14348" max="14349" width="15" style="975" customWidth="1"/>
    <col min="14350" max="14350" width="13.5703125" style="975" customWidth="1"/>
    <col min="14351" max="14351" width="15" style="975" customWidth="1"/>
    <col min="14352" max="14353" width="17.5703125" style="975" customWidth="1"/>
    <col min="14354" max="14354" width="33" style="975" customWidth="1"/>
    <col min="14355" max="14355" width="15" style="975" customWidth="1"/>
    <col min="14356" max="14357" width="14.5703125" style="975" bestFit="1" customWidth="1"/>
    <col min="14358" max="14358" width="10.5703125" style="975" bestFit="1" customWidth="1"/>
    <col min="14359" max="14592" width="10" style="975"/>
    <col min="14593" max="14593" width="9.42578125" style="975" customWidth="1"/>
    <col min="14594" max="14594" width="20.85546875" style="975" customWidth="1"/>
    <col min="14595" max="14595" width="35.5703125" style="975" customWidth="1"/>
    <col min="14596" max="14596" width="12.85546875" style="975" customWidth="1"/>
    <col min="14597" max="14597" width="10.42578125" style="975" customWidth="1"/>
    <col min="14598" max="14598" width="16.42578125" style="975" customWidth="1"/>
    <col min="14599" max="14599" width="12" style="975" customWidth="1"/>
    <col min="14600" max="14600" width="14.28515625" style="975" bestFit="1" customWidth="1"/>
    <col min="14601" max="14601" width="18.85546875" style="975" customWidth="1"/>
    <col min="14602" max="14602" width="15.5703125" style="975" customWidth="1"/>
    <col min="14603" max="14603" width="16.140625" style="975" customWidth="1"/>
    <col min="14604" max="14605" width="15" style="975" customWidth="1"/>
    <col min="14606" max="14606" width="13.5703125" style="975" customWidth="1"/>
    <col min="14607" max="14607" width="15" style="975" customWidth="1"/>
    <col min="14608" max="14609" width="17.5703125" style="975" customWidth="1"/>
    <col min="14610" max="14610" width="33" style="975" customWidth="1"/>
    <col min="14611" max="14611" width="15" style="975" customWidth="1"/>
    <col min="14612" max="14613" width="14.5703125" style="975" bestFit="1" customWidth="1"/>
    <col min="14614" max="14614" width="10.5703125" style="975" bestFit="1" customWidth="1"/>
    <col min="14615" max="14848" width="10" style="975"/>
    <col min="14849" max="14849" width="9.42578125" style="975" customWidth="1"/>
    <col min="14850" max="14850" width="20.85546875" style="975" customWidth="1"/>
    <col min="14851" max="14851" width="35.5703125" style="975" customWidth="1"/>
    <col min="14852" max="14852" width="12.85546875" style="975" customWidth="1"/>
    <col min="14853" max="14853" width="10.42578125" style="975" customWidth="1"/>
    <col min="14854" max="14854" width="16.42578125" style="975" customWidth="1"/>
    <col min="14855" max="14855" width="12" style="975" customWidth="1"/>
    <col min="14856" max="14856" width="14.28515625" style="975" bestFit="1" customWidth="1"/>
    <col min="14857" max="14857" width="18.85546875" style="975" customWidth="1"/>
    <col min="14858" max="14858" width="15.5703125" style="975" customWidth="1"/>
    <col min="14859" max="14859" width="16.140625" style="975" customWidth="1"/>
    <col min="14860" max="14861" width="15" style="975" customWidth="1"/>
    <col min="14862" max="14862" width="13.5703125" style="975" customWidth="1"/>
    <col min="14863" max="14863" width="15" style="975" customWidth="1"/>
    <col min="14864" max="14865" width="17.5703125" style="975" customWidth="1"/>
    <col min="14866" max="14866" width="33" style="975" customWidth="1"/>
    <col min="14867" max="14867" width="15" style="975" customWidth="1"/>
    <col min="14868" max="14869" width="14.5703125" style="975" bestFit="1" customWidth="1"/>
    <col min="14870" max="14870" width="10.5703125" style="975" bestFit="1" customWidth="1"/>
    <col min="14871" max="15104" width="10" style="975"/>
    <col min="15105" max="15105" width="9.42578125" style="975" customWidth="1"/>
    <col min="15106" max="15106" width="20.85546875" style="975" customWidth="1"/>
    <col min="15107" max="15107" width="35.5703125" style="975" customWidth="1"/>
    <col min="15108" max="15108" width="12.85546875" style="975" customWidth="1"/>
    <col min="15109" max="15109" width="10.42578125" style="975" customWidth="1"/>
    <col min="15110" max="15110" width="16.42578125" style="975" customWidth="1"/>
    <col min="15111" max="15111" width="12" style="975" customWidth="1"/>
    <col min="15112" max="15112" width="14.28515625" style="975" bestFit="1" customWidth="1"/>
    <col min="15113" max="15113" width="18.85546875" style="975" customWidth="1"/>
    <col min="15114" max="15114" width="15.5703125" style="975" customWidth="1"/>
    <col min="15115" max="15115" width="16.140625" style="975" customWidth="1"/>
    <col min="15116" max="15117" width="15" style="975" customWidth="1"/>
    <col min="15118" max="15118" width="13.5703125" style="975" customWidth="1"/>
    <col min="15119" max="15119" width="15" style="975" customWidth="1"/>
    <col min="15120" max="15121" width="17.5703125" style="975" customWidth="1"/>
    <col min="15122" max="15122" width="33" style="975" customWidth="1"/>
    <col min="15123" max="15123" width="15" style="975" customWidth="1"/>
    <col min="15124" max="15125" width="14.5703125" style="975" bestFit="1" customWidth="1"/>
    <col min="15126" max="15126" width="10.5703125" style="975" bestFit="1" customWidth="1"/>
    <col min="15127" max="15360" width="10" style="975"/>
    <col min="15361" max="15361" width="9.42578125" style="975" customWidth="1"/>
    <col min="15362" max="15362" width="20.85546875" style="975" customWidth="1"/>
    <col min="15363" max="15363" width="35.5703125" style="975" customWidth="1"/>
    <col min="15364" max="15364" width="12.85546875" style="975" customWidth="1"/>
    <col min="15365" max="15365" width="10.42578125" style="975" customWidth="1"/>
    <col min="15366" max="15366" width="16.42578125" style="975" customWidth="1"/>
    <col min="15367" max="15367" width="12" style="975" customWidth="1"/>
    <col min="15368" max="15368" width="14.28515625" style="975" bestFit="1" customWidth="1"/>
    <col min="15369" max="15369" width="18.85546875" style="975" customWidth="1"/>
    <col min="15370" max="15370" width="15.5703125" style="975" customWidth="1"/>
    <col min="15371" max="15371" width="16.140625" style="975" customWidth="1"/>
    <col min="15372" max="15373" width="15" style="975" customWidth="1"/>
    <col min="15374" max="15374" width="13.5703125" style="975" customWidth="1"/>
    <col min="15375" max="15375" width="15" style="975" customWidth="1"/>
    <col min="15376" max="15377" width="17.5703125" style="975" customWidth="1"/>
    <col min="15378" max="15378" width="33" style="975" customWidth="1"/>
    <col min="15379" max="15379" width="15" style="975" customWidth="1"/>
    <col min="15380" max="15381" width="14.5703125" style="975" bestFit="1" customWidth="1"/>
    <col min="15382" max="15382" width="10.5703125" style="975" bestFit="1" customWidth="1"/>
    <col min="15383" max="15616" width="10" style="975"/>
    <col min="15617" max="15617" width="9.42578125" style="975" customWidth="1"/>
    <col min="15618" max="15618" width="20.85546875" style="975" customWidth="1"/>
    <col min="15619" max="15619" width="35.5703125" style="975" customWidth="1"/>
    <col min="15620" max="15620" width="12.85546875" style="975" customWidth="1"/>
    <col min="15621" max="15621" width="10.42578125" style="975" customWidth="1"/>
    <col min="15622" max="15622" width="16.42578125" style="975" customWidth="1"/>
    <col min="15623" max="15623" width="12" style="975" customWidth="1"/>
    <col min="15624" max="15624" width="14.28515625" style="975" bestFit="1" customWidth="1"/>
    <col min="15625" max="15625" width="18.85546875" style="975" customWidth="1"/>
    <col min="15626" max="15626" width="15.5703125" style="975" customWidth="1"/>
    <col min="15627" max="15627" width="16.140625" style="975" customWidth="1"/>
    <col min="15628" max="15629" width="15" style="975" customWidth="1"/>
    <col min="15630" max="15630" width="13.5703125" style="975" customWidth="1"/>
    <col min="15631" max="15631" width="15" style="975" customWidth="1"/>
    <col min="15632" max="15633" width="17.5703125" style="975" customWidth="1"/>
    <col min="15634" max="15634" width="33" style="975" customWidth="1"/>
    <col min="15635" max="15635" width="15" style="975" customWidth="1"/>
    <col min="15636" max="15637" width="14.5703125" style="975" bestFit="1" customWidth="1"/>
    <col min="15638" max="15638" width="10.5703125" style="975" bestFit="1" customWidth="1"/>
    <col min="15639" max="15872" width="10" style="975"/>
    <col min="15873" max="15873" width="9.42578125" style="975" customWidth="1"/>
    <col min="15874" max="15874" width="20.85546875" style="975" customWidth="1"/>
    <col min="15875" max="15875" width="35.5703125" style="975" customWidth="1"/>
    <col min="15876" max="15876" width="12.85546875" style="975" customWidth="1"/>
    <col min="15877" max="15877" width="10.42578125" style="975" customWidth="1"/>
    <col min="15878" max="15878" width="16.42578125" style="975" customWidth="1"/>
    <col min="15879" max="15879" width="12" style="975" customWidth="1"/>
    <col min="15880" max="15880" width="14.28515625" style="975" bestFit="1" customWidth="1"/>
    <col min="15881" max="15881" width="18.85546875" style="975" customWidth="1"/>
    <col min="15882" max="15882" width="15.5703125" style="975" customWidth="1"/>
    <col min="15883" max="15883" width="16.140625" style="975" customWidth="1"/>
    <col min="15884" max="15885" width="15" style="975" customWidth="1"/>
    <col min="15886" max="15886" width="13.5703125" style="975" customWidth="1"/>
    <col min="15887" max="15887" width="15" style="975" customWidth="1"/>
    <col min="15888" max="15889" width="17.5703125" style="975" customWidth="1"/>
    <col min="15890" max="15890" width="33" style="975" customWidth="1"/>
    <col min="15891" max="15891" width="15" style="975" customWidth="1"/>
    <col min="15892" max="15893" width="14.5703125" style="975" bestFit="1" customWidth="1"/>
    <col min="15894" max="15894" width="10.5703125" style="975" bestFit="1" customWidth="1"/>
    <col min="15895" max="16128" width="10" style="975"/>
    <col min="16129" max="16129" width="9.42578125" style="975" customWidth="1"/>
    <col min="16130" max="16130" width="20.85546875" style="975" customWidth="1"/>
    <col min="16131" max="16131" width="35.5703125" style="975" customWidth="1"/>
    <col min="16132" max="16132" width="12.85546875" style="975" customWidth="1"/>
    <col min="16133" max="16133" width="10.42578125" style="975" customWidth="1"/>
    <col min="16134" max="16134" width="16.42578125" style="975" customWidth="1"/>
    <col min="16135" max="16135" width="12" style="975" customWidth="1"/>
    <col min="16136" max="16136" width="14.28515625" style="975" bestFit="1" customWidth="1"/>
    <col min="16137" max="16137" width="18.85546875" style="975" customWidth="1"/>
    <col min="16138" max="16138" width="15.5703125" style="975" customWidth="1"/>
    <col min="16139" max="16139" width="16.140625" style="975" customWidth="1"/>
    <col min="16140" max="16141" width="15" style="975" customWidth="1"/>
    <col min="16142" max="16142" width="13.5703125" style="975" customWidth="1"/>
    <col min="16143" max="16143" width="15" style="975" customWidth="1"/>
    <col min="16144" max="16145" width="17.5703125" style="975" customWidth="1"/>
    <col min="16146" max="16146" width="33" style="975" customWidth="1"/>
    <col min="16147" max="16147" width="15" style="975" customWidth="1"/>
    <col min="16148" max="16149" width="14.5703125" style="975" bestFit="1" customWidth="1"/>
    <col min="16150" max="16150" width="10.5703125" style="975" bestFit="1" customWidth="1"/>
    <col min="16151" max="16384" width="10" style="975"/>
  </cols>
  <sheetData>
    <row r="1" spans="1:23" ht="12.75">
      <c r="A1" s="975" t="s">
        <v>810</v>
      </c>
      <c r="R1" s="977"/>
    </row>
    <row r="2" spans="1:23" ht="12.75">
      <c r="A2" s="975" t="s">
        <v>811</v>
      </c>
      <c r="R2" s="977"/>
      <c r="V2" s="978"/>
    </row>
    <row r="3" spans="1:23" ht="12.75">
      <c r="A3" s="975" t="s">
        <v>812</v>
      </c>
      <c r="R3" s="977"/>
      <c r="V3" s="979"/>
    </row>
    <row r="4" spans="1:23">
      <c r="A4" s="975" t="s">
        <v>906</v>
      </c>
      <c r="G4" s="980"/>
    </row>
    <row r="5" spans="1:23">
      <c r="A5" s="975" t="s">
        <v>813</v>
      </c>
      <c r="I5" s="981"/>
      <c r="J5" s="981"/>
      <c r="P5" s="981"/>
      <c r="Q5" s="981"/>
    </row>
    <row r="6" spans="1:23">
      <c r="J6" s="981"/>
      <c r="K6" s="982"/>
      <c r="L6" s="976"/>
      <c r="M6" s="976"/>
      <c r="N6" s="976"/>
      <c r="O6" s="976"/>
      <c r="P6" s="976"/>
      <c r="Q6" s="976"/>
    </row>
    <row r="7" spans="1:23">
      <c r="B7" s="983"/>
      <c r="C7" s="983"/>
      <c r="D7" s="983"/>
      <c r="E7" s="983"/>
      <c r="F7" s="983"/>
      <c r="G7" s="983"/>
      <c r="H7" s="983"/>
      <c r="I7" s="983"/>
      <c r="J7" s="983"/>
      <c r="K7" s="983"/>
      <c r="L7" s="983"/>
      <c r="M7" s="983"/>
      <c r="N7" s="983"/>
      <c r="O7" s="983"/>
      <c r="P7" s="983"/>
      <c r="Q7" s="976"/>
    </row>
    <row r="8" spans="1:23">
      <c r="A8" s="976" t="s">
        <v>438</v>
      </c>
      <c r="B8" s="976" t="s">
        <v>439</v>
      </c>
      <c r="C8" s="976" t="s">
        <v>440</v>
      </c>
      <c r="D8" s="976" t="s">
        <v>441</v>
      </c>
      <c r="E8" s="976" t="s">
        <v>442</v>
      </c>
      <c r="F8" s="976" t="s">
        <v>443</v>
      </c>
      <c r="G8" s="976" t="s">
        <v>444</v>
      </c>
      <c r="H8" s="976" t="s">
        <v>445</v>
      </c>
      <c r="I8" s="976" t="s">
        <v>814</v>
      </c>
      <c r="J8" s="976" t="s">
        <v>815</v>
      </c>
      <c r="K8" s="976" t="s">
        <v>448</v>
      </c>
      <c r="L8" s="976" t="s">
        <v>449</v>
      </c>
      <c r="M8" s="976" t="s">
        <v>450</v>
      </c>
      <c r="N8" s="976" t="s">
        <v>31</v>
      </c>
      <c r="O8" s="976" t="s">
        <v>99</v>
      </c>
      <c r="P8" s="976" t="s">
        <v>144</v>
      </c>
      <c r="Q8" s="976" t="s">
        <v>145</v>
      </c>
      <c r="R8" s="976" t="s">
        <v>146</v>
      </c>
    </row>
    <row r="9" spans="1:23" ht="14.45" customHeight="1">
      <c r="B9"/>
      <c r="C9"/>
      <c r="D9"/>
      <c r="E9"/>
      <c r="I9" s="1153" t="s">
        <v>905</v>
      </c>
      <c r="J9" s="1153"/>
      <c r="K9" s="1154" t="s">
        <v>816</v>
      </c>
      <c r="L9" s="1154"/>
      <c r="M9" s="1154"/>
      <c r="N9" s="1155" t="s">
        <v>817</v>
      </c>
      <c r="O9" s="1155"/>
      <c r="P9" s="1153" t="s">
        <v>904</v>
      </c>
      <c r="Q9" s="1153"/>
    </row>
    <row r="10" spans="1:23" ht="69.95" customHeight="1">
      <c r="A10" s="984" t="s">
        <v>818</v>
      </c>
      <c r="B10" s="985" t="s">
        <v>819</v>
      </c>
      <c r="C10" s="985" t="s">
        <v>820</v>
      </c>
      <c r="D10" s="986" t="s">
        <v>821</v>
      </c>
      <c r="E10" s="986" t="s">
        <v>822</v>
      </c>
      <c r="F10" s="986" t="s">
        <v>823</v>
      </c>
      <c r="G10" s="986" t="s">
        <v>824</v>
      </c>
      <c r="H10" s="986" t="s">
        <v>825</v>
      </c>
      <c r="I10" s="987" t="s">
        <v>826</v>
      </c>
      <c r="J10" s="987" t="s">
        <v>827</v>
      </c>
      <c r="K10" s="986" t="s">
        <v>828</v>
      </c>
      <c r="L10" s="986">
        <v>182.3</v>
      </c>
      <c r="M10" s="986">
        <v>254</v>
      </c>
      <c r="N10" s="986" t="s">
        <v>829</v>
      </c>
      <c r="O10" s="986" t="s">
        <v>830</v>
      </c>
      <c r="P10" s="987" t="s">
        <v>826</v>
      </c>
      <c r="Q10" s="987" t="s">
        <v>827</v>
      </c>
      <c r="R10" s="988" t="s">
        <v>831</v>
      </c>
    </row>
    <row r="11" spans="1:23">
      <c r="B11" s="975"/>
      <c r="D11" s="989"/>
      <c r="E11" s="989"/>
      <c r="F11" s="989"/>
      <c r="G11" s="989"/>
      <c r="H11" s="989"/>
      <c r="I11" s="989"/>
      <c r="J11" s="989"/>
      <c r="K11" s="989"/>
      <c r="L11" s="989"/>
      <c r="M11" s="989"/>
      <c r="N11" s="989"/>
      <c r="O11" s="989"/>
      <c r="P11" s="1156" t="s">
        <v>832</v>
      </c>
      <c r="Q11" s="1156"/>
      <c r="R11" s="988"/>
    </row>
    <row r="12" spans="1:23">
      <c r="B12" s="990" t="s">
        <v>833</v>
      </c>
      <c r="C12" s="991"/>
      <c r="D12" s="991"/>
      <c r="E12" s="991"/>
      <c r="F12" s="991"/>
      <c r="G12" s="991"/>
      <c r="H12" s="991"/>
      <c r="I12" s="991"/>
      <c r="J12" s="991"/>
      <c r="K12" s="991"/>
      <c r="L12" s="991"/>
      <c r="M12" s="991"/>
      <c r="N12" s="991"/>
      <c r="O12" s="991"/>
      <c r="P12" s="991"/>
      <c r="Q12" s="991"/>
      <c r="R12" s="979"/>
      <c r="S12" s="979"/>
      <c r="T12" s="979"/>
      <c r="U12" s="979"/>
      <c r="V12" s="979"/>
      <c r="W12" s="979"/>
    </row>
    <row r="13" spans="1:23">
      <c r="A13" s="975" t="s">
        <v>834</v>
      </c>
      <c r="B13" s="992" t="s">
        <v>835</v>
      </c>
      <c r="C13" s="975" t="s">
        <v>836</v>
      </c>
      <c r="D13" s="975" t="s">
        <v>837</v>
      </c>
      <c r="E13" s="975" t="s">
        <v>838</v>
      </c>
      <c r="F13" s="976"/>
      <c r="I13" s="993"/>
      <c r="J13" s="994"/>
      <c r="K13" s="993"/>
      <c r="L13" s="993"/>
      <c r="M13" s="993"/>
      <c r="N13" s="993"/>
      <c r="O13" s="993"/>
      <c r="P13" s="995">
        <f>SUM(I13:O13)</f>
        <v>0</v>
      </c>
      <c r="Q13" s="996" t="s">
        <v>406</v>
      </c>
      <c r="R13" s="997" t="s">
        <v>839</v>
      </c>
      <c r="S13" s="979"/>
      <c r="T13" s="979"/>
      <c r="U13" s="979"/>
      <c r="V13" s="979"/>
      <c r="W13" s="979"/>
    </row>
    <row r="14" spans="1:23">
      <c r="A14" s="975" t="s">
        <v>840</v>
      </c>
      <c r="B14" s="992" t="s">
        <v>841</v>
      </c>
      <c r="C14" s="975" t="s">
        <v>842</v>
      </c>
      <c r="D14" s="975" t="s">
        <v>843</v>
      </c>
      <c r="E14" s="975" t="s">
        <v>838</v>
      </c>
      <c r="F14" s="998"/>
      <c r="G14" s="999" t="s">
        <v>844</v>
      </c>
      <c r="H14" s="999" t="s">
        <v>845</v>
      </c>
      <c r="J14" s="993"/>
      <c r="K14" s="993"/>
      <c r="L14" s="993"/>
      <c r="M14" s="993"/>
      <c r="N14" s="993"/>
      <c r="O14" s="993"/>
      <c r="P14" s="1000" t="s">
        <v>406</v>
      </c>
      <c r="Q14" s="1001">
        <f>SUM(J14:O14)</f>
        <v>0</v>
      </c>
      <c r="R14" s="997" t="s">
        <v>850</v>
      </c>
      <c r="S14" s="979"/>
      <c r="T14" s="979"/>
      <c r="U14" s="979"/>
      <c r="V14" s="979"/>
      <c r="W14" s="979"/>
    </row>
    <row r="15" spans="1:23">
      <c r="A15" s="975" t="s">
        <v>846</v>
      </c>
      <c r="B15" s="992" t="s">
        <v>841</v>
      </c>
      <c r="C15" s="975" t="s">
        <v>842</v>
      </c>
      <c r="D15" s="975" t="s">
        <v>847</v>
      </c>
      <c r="E15" s="975" t="s">
        <v>838</v>
      </c>
      <c r="F15" s="1003">
        <v>-9655</v>
      </c>
      <c r="G15" s="999" t="s">
        <v>848</v>
      </c>
      <c r="H15" s="999" t="s">
        <v>849</v>
      </c>
      <c r="J15" s="993"/>
      <c r="K15" s="993"/>
      <c r="L15" s="993"/>
      <c r="M15" s="993"/>
      <c r="N15" s="993"/>
      <c r="O15" s="993"/>
      <c r="P15" s="1000"/>
      <c r="Q15" s="1001">
        <f>SUM(J15:O15)</f>
        <v>0</v>
      </c>
      <c r="R15" s="1002" t="s">
        <v>902</v>
      </c>
      <c r="S15" s="979"/>
      <c r="T15" s="979"/>
      <c r="U15" s="979"/>
      <c r="V15" s="979"/>
      <c r="W15" s="979"/>
    </row>
    <row r="16" spans="1:23">
      <c r="A16" s="975" t="s">
        <v>851</v>
      </c>
      <c r="B16" s="992" t="s">
        <v>852</v>
      </c>
      <c r="C16" s="975" t="s">
        <v>853</v>
      </c>
      <c r="D16" s="975" t="s">
        <v>843</v>
      </c>
      <c r="E16" s="975" t="s">
        <v>838</v>
      </c>
      <c r="F16" s="1003"/>
      <c r="G16" s="999"/>
      <c r="H16" s="999"/>
      <c r="I16" s="993"/>
      <c r="J16" s="994"/>
      <c r="K16" s="993"/>
      <c r="L16" s="993"/>
      <c r="M16" s="993"/>
      <c r="N16" s="993"/>
      <c r="O16" s="993"/>
      <c r="P16" s="995">
        <f>SUM(I16:O16)</f>
        <v>0</v>
      </c>
      <c r="Q16" s="994"/>
      <c r="R16" s="1157" t="s">
        <v>903</v>
      </c>
      <c r="S16" s="979"/>
      <c r="T16" s="979"/>
      <c r="U16" s="979"/>
      <c r="V16" s="979"/>
      <c r="W16" s="979"/>
    </row>
    <row r="17" spans="1:23">
      <c r="A17" s="975" t="s">
        <v>854</v>
      </c>
      <c r="B17" s="992" t="s">
        <v>852</v>
      </c>
      <c r="C17" s="975" t="s">
        <v>853</v>
      </c>
      <c r="D17" s="975" t="s">
        <v>847</v>
      </c>
      <c r="E17" s="975" t="s">
        <v>838</v>
      </c>
      <c r="F17" s="1003"/>
      <c r="G17" s="999"/>
      <c r="H17" s="999"/>
      <c r="I17" s="993"/>
      <c r="J17" s="994"/>
      <c r="K17" s="993"/>
      <c r="L17" s="993"/>
      <c r="M17" s="993"/>
      <c r="N17" s="993"/>
      <c r="O17" s="993"/>
      <c r="P17" s="995">
        <f>SUM(I17:O17)</f>
        <v>0</v>
      </c>
      <c r="Q17" s="994"/>
      <c r="R17" s="1157"/>
      <c r="S17" s="979"/>
      <c r="T17" s="979"/>
      <c r="U17" s="979"/>
      <c r="V17" s="979"/>
      <c r="W17" s="979"/>
    </row>
    <row r="18" spans="1:23">
      <c r="A18" s="975" t="s">
        <v>855</v>
      </c>
      <c r="B18" s="992" t="s">
        <v>856</v>
      </c>
      <c r="C18" s="975" t="s">
        <v>857</v>
      </c>
      <c r="D18" s="975" t="s">
        <v>847</v>
      </c>
      <c r="E18" s="975" t="s">
        <v>838</v>
      </c>
      <c r="F18" s="1003">
        <v>2600</v>
      </c>
      <c r="G18" s="999" t="s">
        <v>848</v>
      </c>
      <c r="H18" s="999" t="s">
        <v>849</v>
      </c>
      <c r="J18" s="993"/>
      <c r="K18" s="993"/>
      <c r="L18" s="993"/>
      <c r="M18" s="993"/>
      <c r="N18" s="993"/>
      <c r="O18" s="993"/>
      <c r="P18" s="1000" t="s">
        <v>406</v>
      </c>
      <c r="Q18" s="1001">
        <f>SUM(J18:O18)</f>
        <v>0</v>
      </c>
      <c r="R18" s="997" t="s">
        <v>858</v>
      </c>
      <c r="S18" s="979"/>
      <c r="T18" s="979"/>
      <c r="U18" s="979"/>
      <c r="V18" s="979"/>
      <c r="W18" s="979"/>
    </row>
    <row r="19" spans="1:23">
      <c r="A19" s="975" t="s">
        <v>859</v>
      </c>
      <c r="B19" s="992" t="s">
        <v>860</v>
      </c>
      <c r="C19" s="975" t="s">
        <v>861</v>
      </c>
      <c r="D19" s="975" t="s">
        <v>847</v>
      </c>
      <c r="E19" s="975" t="s">
        <v>838</v>
      </c>
      <c r="F19" s="998"/>
      <c r="G19" s="999"/>
      <c r="H19" s="999"/>
      <c r="I19" s="993"/>
      <c r="J19" s="994"/>
      <c r="K19" s="993"/>
      <c r="L19" s="993"/>
      <c r="M19" s="993"/>
      <c r="N19" s="993"/>
      <c r="O19" s="993"/>
      <c r="P19" s="995">
        <f>SUM(I19:O19)</f>
        <v>0</v>
      </c>
      <c r="Q19" s="1000"/>
      <c r="R19" s="997" t="s">
        <v>862</v>
      </c>
      <c r="S19" s="979"/>
      <c r="T19" s="979"/>
      <c r="U19" s="979"/>
      <c r="V19" s="979"/>
      <c r="W19" s="979"/>
    </row>
    <row r="20" spans="1:23">
      <c r="A20" s="975" t="s">
        <v>863</v>
      </c>
      <c r="B20" s="999" t="s">
        <v>864</v>
      </c>
      <c r="F20" s="998"/>
      <c r="G20" s="999"/>
      <c r="H20" s="999"/>
      <c r="I20" s="993"/>
      <c r="J20" s="993"/>
      <c r="K20" s="993"/>
      <c r="L20" s="993"/>
      <c r="M20" s="993"/>
      <c r="N20" s="993"/>
      <c r="O20" s="993"/>
      <c r="P20" s="996"/>
      <c r="Q20" s="995"/>
      <c r="R20" s="1004"/>
      <c r="S20" s="979"/>
      <c r="T20" s="979"/>
      <c r="U20" s="979"/>
      <c r="V20" s="979"/>
      <c r="W20" s="979"/>
    </row>
    <row r="21" spans="1:23" ht="12.75">
      <c r="B21"/>
      <c r="C21"/>
      <c r="D21"/>
      <c r="E21"/>
      <c r="F21"/>
      <c r="G21"/>
      <c r="H21"/>
      <c r="I21"/>
      <c r="J21"/>
      <c r="K21"/>
      <c r="L21"/>
      <c r="M21"/>
      <c r="N21"/>
      <c r="O21"/>
      <c r="P21"/>
      <c r="Q21"/>
      <c r="R21"/>
      <c r="S21" s="979"/>
      <c r="T21" s="979"/>
      <c r="U21" s="979"/>
      <c r="V21" s="979"/>
      <c r="W21" s="979"/>
    </row>
    <row r="22" spans="1:23" s="979" customFormat="1">
      <c r="A22" s="975"/>
      <c r="B22" s="990" t="s">
        <v>865</v>
      </c>
    </row>
    <row r="23" spans="1:23" ht="11.45" customHeight="1">
      <c r="A23" s="975" t="s">
        <v>866</v>
      </c>
      <c r="B23" s="976">
        <v>182.3</v>
      </c>
      <c r="C23" s="1005" t="s">
        <v>867</v>
      </c>
      <c r="D23" s="1006" t="s">
        <v>406</v>
      </c>
      <c r="E23" s="975" t="s">
        <v>838</v>
      </c>
      <c r="F23" s="1006"/>
      <c r="G23" s="1006" t="s">
        <v>406</v>
      </c>
      <c r="H23" s="1006"/>
      <c r="I23" s="1007"/>
      <c r="J23" s="993"/>
      <c r="K23" s="993"/>
      <c r="L23" s="993"/>
      <c r="M23" s="993"/>
      <c r="N23" s="993"/>
      <c r="O23" s="994"/>
      <c r="P23" s="996">
        <f>SUM(I23:O23)</f>
        <v>0</v>
      </c>
      <c r="Q23" s="1008"/>
      <c r="R23" s="997" t="s">
        <v>868</v>
      </c>
      <c r="S23" s="979"/>
      <c r="T23" s="979"/>
      <c r="U23" s="979"/>
      <c r="V23" s="979"/>
      <c r="W23" s="979"/>
    </row>
    <row r="24" spans="1:23" ht="11.45" customHeight="1">
      <c r="A24" s="975" t="s">
        <v>869</v>
      </c>
      <c r="B24" s="976">
        <v>254</v>
      </c>
      <c r="C24" s="1005" t="s">
        <v>870</v>
      </c>
      <c r="D24" s="1006" t="s">
        <v>406</v>
      </c>
      <c r="E24" s="975" t="s">
        <v>838</v>
      </c>
      <c r="F24" s="1006"/>
      <c r="G24" s="1006" t="s">
        <v>406</v>
      </c>
      <c r="H24" s="1006"/>
      <c r="I24" s="1007"/>
      <c r="J24" s="993"/>
      <c r="K24" s="993"/>
      <c r="L24" s="993"/>
      <c r="M24" s="993"/>
      <c r="N24" s="993"/>
      <c r="O24" s="994"/>
      <c r="P24" s="996">
        <f>SUM(I24:O24)</f>
        <v>0</v>
      </c>
      <c r="Q24" s="1008"/>
      <c r="R24" s="997" t="s">
        <v>871</v>
      </c>
      <c r="S24" s="979"/>
      <c r="T24" s="979"/>
      <c r="U24" s="979"/>
      <c r="V24" s="979"/>
      <c r="W24" s="979"/>
    </row>
    <row r="25" spans="1:23" ht="11.45" customHeight="1">
      <c r="A25" s="975" t="s">
        <v>872</v>
      </c>
      <c r="B25" s="999" t="s">
        <v>864</v>
      </c>
      <c r="C25" s="1005"/>
      <c r="D25" s="1006"/>
      <c r="F25" s="1006"/>
      <c r="G25" s="1006"/>
      <c r="H25" s="1006"/>
      <c r="I25" s="993"/>
      <c r="J25" s="993"/>
      <c r="K25" s="993"/>
      <c r="L25" s="993"/>
      <c r="M25" s="993"/>
      <c r="N25" s="993"/>
      <c r="O25" s="1006"/>
      <c r="P25" s="1008"/>
      <c r="Q25" s="1008"/>
      <c r="R25" s="997"/>
      <c r="S25" s="979"/>
      <c r="T25" s="979"/>
      <c r="U25" s="979"/>
      <c r="V25" s="979"/>
      <c r="W25" s="979"/>
    </row>
    <row r="26" spans="1:23">
      <c r="C26" s="1005"/>
      <c r="D26" s="983"/>
      <c r="E26" s="983"/>
      <c r="F26" s="983"/>
      <c r="G26" s="983"/>
      <c r="H26" s="983"/>
      <c r="I26" s="983"/>
      <c r="J26" s="983"/>
      <c r="K26" s="983"/>
      <c r="L26" s="983"/>
      <c r="M26" s="983"/>
      <c r="N26" s="983"/>
      <c r="O26" s="983"/>
      <c r="P26" s="983"/>
      <c r="Q26" s="983"/>
      <c r="R26" s="1009"/>
      <c r="S26" s="979"/>
      <c r="T26" s="979"/>
      <c r="U26" s="979"/>
      <c r="V26" s="979"/>
      <c r="W26" s="979"/>
    </row>
    <row r="27" spans="1:23" ht="12.75" thickBot="1">
      <c r="A27" s="1010">
        <v>3</v>
      </c>
      <c r="B27" s="1158" t="str">
        <f>"Total For Accounting Entires (Sum of Lines "&amp;A13&amp;" through "&amp;A24&amp;")"</f>
        <v>Total For Accounting Entires (Sum of Lines 1a through 2b)</v>
      </c>
      <c r="C27" s="1158"/>
      <c r="D27" s="1006"/>
      <c r="E27" s="1006"/>
      <c r="F27" s="1006"/>
      <c r="G27" s="1006"/>
      <c r="H27" s="1006"/>
      <c r="I27" s="1011">
        <f>SUM(I13:I26)</f>
        <v>0</v>
      </c>
      <c r="J27" s="1012">
        <f>SUM(J13:J26)</f>
        <v>0</v>
      </c>
      <c r="K27" s="1013">
        <f>SUM(K13:K26)</f>
        <v>0</v>
      </c>
      <c r="L27" s="1013">
        <f>SUM(L13:L26)</f>
        <v>0</v>
      </c>
      <c r="M27" s="1013">
        <f>SUM(M13:M26)</f>
        <v>0</v>
      </c>
      <c r="N27" s="1012">
        <f>-SUM(N13:N26)</f>
        <v>0</v>
      </c>
      <c r="O27" s="1012">
        <f>-SUM(O13:O26)</f>
        <v>0</v>
      </c>
      <c r="P27" s="1013">
        <f>SUM(P13:P26)</f>
        <v>0</v>
      </c>
      <c r="Q27" s="1012">
        <f>SUM(Q13:Q26)</f>
        <v>0</v>
      </c>
      <c r="R27" s="1014"/>
      <c r="S27" s="979"/>
      <c r="T27" s="979"/>
      <c r="U27" s="979"/>
      <c r="V27" s="979"/>
      <c r="W27" s="979"/>
    </row>
    <row r="28" spans="1:23" ht="12.75" thickTop="1">
      <c r="C28" s="1005"/>
      <c r="D28" s="983"/>
      <c r="E28" s="983"/>
      <c r="F28" s="983"/>
      <c r="G28" s="983"/>
      <c r="H28" s="983"/>
      <c r="I28" s="1015"/>
      <c r="J28" s="1003"/>
      <c r="K28" s="1016"/>
      <c r="L28" s="1016"/>
      <c r="M28" s="1016"/>
      <c r="N28" s="1017" t="s">
        <v>873</v>
      </c>
      <c r="O28" s="1017"/>
      <c r="P28" s="1016"/>
      <c r="Q28" s="1018"/>
      <c r="R28" s="1014"/>
      <c r="S28" s="979"/>
      <c r="T28" s="979"/>
      <c r="U28" s="979"/>
      <c r="V28" s="979"/>
      <c r="W28" s="979"/>
    </row>
    <row r="29" spans="1:23">
      <c r="B29" s="975"/>
      <c r="C29" s="1005"/>
      <c r="D29" s="983"/>
      <c r="E29" s="983"/>
      <c r="F29" s="983"/>
      <c r="G29" s="983"/>
      <c r="H29" s="983"/>
      <c r="I29" s="1015"/>
      <c r="J29" s="1018"/>
      <c r="K29" s="1016"/>
      <c r="L29" s="1016"/>
      <c r="M29" s="1016"/>
      <c r="N29" s="1018"/>
      <c r="O29" s="1018"/>
      <c r="P29" s="1016"/>
      <c r="Q29" s="1018"/>
      <c r="R29" s="1014"/>
      <c r="S29" s="979"/>
      <c r="T29" s="979"/>
      <c r="U29" s="979"/>
      <c r="V29" s="979"/>
      <c r="W29" s="979"/>
    </row>
    <row r="30" spans="1:23" ht="15" customHeight="1">
      <c r="A30" s="1019" t="s">
        <v>874</v>
      </c>
      <c r="B30" s="1159" t="s">
        <v>875</v>
      </c>
      <c r="C30" s="1159"/>
      <c r="D30" s="1159"/>
      <c r="E30" s="1159"/>
      <c r="F30" s="1159"/>
      <c r="G30" s="1159"/>
      <c r="H30" s="1159"/>
      <c r="I30" s="1159"/>
      <c r="J30" s="1159"/>
      <c r="K30" s="1020"/>
      <c r="O30" s="1021"/>
      <c r="P30" s="1021"/>
      <c r="Q30" s="1021"/>
      <c r="R30" s="979"/>
    </row>
    <row r="31" spans="1:23">
      <c r="B31" s="1159"/>
      <c r="C31" s="1159"/>
      <c r="D31" s="1159"/>
      <c r="E31" s="1159"/>
      <c r="F31" s="1159"/>
      <c r="G31" s="1159"/>
      <c r="H31" s="1159"/>
      <c r="I31" s="1159"/>
      <c r="J31" s="1159"/>
      <c r="K31" s="1020"/>
      <c r="O31" s="1021"/>
      <c r="R31" s="979"/>
    </row>
    <row r="32" spans="1:23">
      <c r="B32" s="1159"/>
      <c r="C32" s="1159"/>
      <c r="D32" s="1159"/>
      <c r="E32" s="1159"/>
      <c r="F32" s="1159"/>
      <c r="G32" s="1159"/>
      <c r="H32" s="1159"/>
      <c r="I32" s="1159"/>
      <c r="J32" s="1159"/>
      <c r="K32" s="1020"/>
      <c r="R32" s="979"/>
    </row>
    <row r="33" spans="1:18">
      <c r="B33" s="1159"/>
      <c r="C33" s="1159"/>
      <c r="D33" s="1159"/>
      <c r="E33" s="1159"/>
      <c r="F33" s="1159"/>
      <c r="G33" s="1159"/>
      <c r="H33" s="1159"/>
      <c r="I33" s="1159"/>
      <c r="J33" s="1159"/>
      <c r="K33" s="1020"/>
      <c r="P33" s="1021"/>
      <c r="Q33" s="1021"/>
      <c r="R33" s="979"/>
    </row>
    <row r="34" spans="1:18">
      <c r="B34" s="1159"/>
      <c r="C34" s="1159"/>
      <c r="D34" s="1159"/>
      <c r="E34" s="1159"/>
      <c r="F34" s="1159"/>
      <c r="G34" s="1159"/>
      <c r="H34" s="1159"/>
      <c r="I34" s="1159"/>
      <c r="J34" s="1159"/>
      <c r="K34" s="1020"/>
      <c r="R34" s="979"/>
    </row>
    <row r="35" spans="1:18">
      <c r="B35" s="1159"/>
      <c r="C35" s="1159"/>
      <c r="D35" s="1159"/>
      <c r="E35" s="1159"/>
      <c r="F35" s="1159"/>
      <c r="G35" s="1159"/>
      <c r="H35" s="1159"/>
      <c r="I35" s="1159"/>
      <c r="J35" s="1159"/>
      <c r="K35" s="1020"/>
      <c r="R35" s="979"/>
    </row>
    <row r="36" spans="1:18" ht="5.0999999999999996" customHeight="1">
      <c r="B36" s="1020"/>
      <c r="C36" s="1020"/>
      <c r="D36" s="1020"/>
      <c r="E36" s="1020"/>
      <c r="F36" s="1020"/>
      <c r="G36" s="1020"/>
      <c r="H36" s="1020"/>
      <c r="I36" s="1020"/>
      <c r="J36" s="1020"/>
      <c r="K36" s="1020"/>
      <c r="R36" s="979"/>
    </row>
    <row r="37" spans="1:18" ht="12.6" customHeight="1">
      <c r="A37" s="975" t="s">
        <v>876</v>
      </c>
      <c r="B37" s="1022" t="s">
        <v>877</v>
      </c>
      <c r="C37" s="1022"/>
      <c r="D37" s="1022"/>
      <c r="E37" s="1022"/>
      <c r="F37" s="1022"/>
      <c r="G37" s="1022"/>
      <c r="H37" s="1022"/>
      <c r="I37" s="1022"/>
      <c r="J37" s="1022"/>
      <c r="K37" s="1020"/>
      <c r="R37" s="979"/>
    </row>
    <row r="38" spans="1:18" ht="5.0999999999999996" customHeight="1">
      <c r="B38" s="1020"/>
      <c r="C38" s="1020"/>
      <c r="D38" s="1020"/>
      <c r="E38" s="1020"/>
      <c r="F38" s="1020"/>
      <c r="G38" s="1020"/>
      <c r="H38" s="1020"/>
      <c r="I38" s="1020"/>
      <c r="J38" s="1020"/>
      <c r="K38" s="1020"/>
      <c r="R38" s="979"/>
    </row>
    <row r="39" spans="1:18" ht="12.6" customHeight="1">
      <c r="A39" s="975" t="s">
        <v>878</v>
      </c>
      <c r="B39" s="1159" t="s">
        <v>879</v>
      </c>
      <c r="C39" s="1159"/>
      <c r="D39" s="1159"/>
      <c r="E39" s="1159"/>
      <c r="F39" s="1159"/>
      <c r="G39" s="1159"/>
      <c r="H39" s="1159"/>
      <c r="I39" s="1159"/>
      <c r="J39" s="1159"/>
      <c r="K39" s="1020"/>
      <c r="R39" s="979"/>
    </row>
    <row r="40" spans="1:18" ht="12.6" customHeight="1">
      <c r="B40" s="1159"/>
      <c r="C40" s="1159"/>
      <c r="D40" s="1159"/>
      <c r="E40" s="1159"/>
      <c r="F40" s="1159"/>
      <c r="G40" s="1159"/>
      <c r="H40" s="1159"/>
      <c r="I40" s="1159"/>
      <c r="J40" s="1159"/>
      <c r="K40" s="1020"/>
      <c r="R40" s="979"/>
    </row>
    <row r="41" spans="1:18" ht="5.0999999999999996" customHeight="1">
      <c r="B41" s="1020"/>
      <c r="C41" s="1020"/>
      <c r="D41" s="1020"/>
      <c r="E41" s="1020"/>
      <c r="F41" s="1020"/>
      <c r="G41" s="1020"/>
      <c r="H41" s="1020"/>
      <c r="I41" s="1020"/>
      <c r="J41" s="1020"/>
      <c r="K41" s="1020"/>
      <c r="R41" s="979"/>
    </row>
    <row r="42" spans="1:18">
      <c r="A42" s="975" t="s">
        <v>880</v>
      </c>
      <c r="B42" s="1010" t="s">
        <v>881</v>
      </c>
      <c r="C42" s="1020"/>
      <c r="D42" s="1020"/>
      <c r="E42" s="1020"/>
      <c r="F42" s="1020"/>
      <c r="G42" s="1020"/>
      <c r="H42" s="1020"/>
      <c r="I42" s="1020"/>
      <c r="J42" s="1020"/>
      <c r="K42" s="1020"/>
      <c r="R42" s="979"/>
    </row>
    <row r="43" spans="1:18" ht="8.1" customHeight="1">
      <c r="B43" s="1010"/>
      <c r="C43" s="1020"/>
      <c r="D43" s="1020"/>
      <c r="E43" s="1020"/>
      <c r="F43" s="1020"/>
      <c r="G43" s="1020"/>
      <c r="H43" s="1020"/>
      <c r="I43" s="1020"/>
      <c r="J43" s="1020"/>
      <c r="K43" s="1020"/>
      <c r="R43" s="979"/>
    </row>
    <row r="44" spans="1:18">
      <c r="A44" s="1010" t="s">
        <v>882</v>
      </c>
      <c r="B44" s="1159" t="str">
        <f>"The amount of excess amortization entries shown in lines "&amp;A13&amp;" through "&amp;A20&amp;"  are shown as a debit or credit to the ADIT account from which it is being amortized.  The total in line "&amp;A27&amp;" is the offset as charged to the 410/411 account."</f>
        <v>The amount of excess amortization entries shown in lines 1a through 1h  are shown as a debit or credit to the ADIT account from which it is being amortized.  The total in line 3 is the offset as charged to the 410/411 account.</v>
      </c>
      <c r="C44" s="1159"/>
      <c r="D44" s="1159"/>
      <c r="E44" s="1159"/>
      <c r="F44" s="1159"/>
      <c r="G44" s="1159"/>
      <c r="H44" s="1159"/>
      <c r="I44" s="1159"/>
      <c r="J44" s="1020"/>
      <c r="R44" s="979"/>
    </row>
    <row r="45" spans="1:18" ht="11.45" customHeight="1">
      <c r="B45" s="1159"/>
      <c r="C45" s="1159"/>
      <c r="D45" s="1159"/>
      <c r="E45" s="1159"/>
      <c r="F45" s="1159"/>
      <c r="G45" s="1159"/>
      <c r="H45" s="1159"/>
      <c r="I45" s="1159"/>
      <c r="J45" s="1020"/>
      <c r="R45" s="979"/>
    </row>
    <row r="46" spans="1:18">
      <c r="R46" s="979"/>
    </row>
    <row r="47" spans="1:18">
      <c r="R47" s="979"/>
    </row>
    <row r="48" spans="1:18">
      <c r="R48" s="979"/>
    </row>
    <row r="53" spans="1:11">
      <c r="A53" s="1019"/>
      <c r="B53" s="1019"/>
      <c r="C53" s="1019"/>
      <c r="D53" s="1019"/>
      <c r="E53" s="1019"/>
      <c r="F53" s="1019"/>
      <c r="G53" s="1019"/>
      <c r="H53" s="1019"/>
      <c r="I53" s="1019"/>
      <c r="J53" s="1019"/>
      <c r="K53" s="1019"/>
    </row>
    <row r="54" spans="1:11">
      <c r="A54" s="1019"/>
      <c r="B54" s="1019"/>
      <c r="C54" s="1019"/>
      <c r="D54" s="1019"/>
      <c r="E54" s="1019"/>
      <c r="F54" s="1019"/>
      <c r="G54" s="1019"/>
      <c r="H54" s="1019"/>
      <c r="I54" s="1019"/>
      <c r="J54" s="1019"/>
      <c r="K54" s="1019"/>
    </row>
    <row r="55" spans="1:11">
      <c r="D55" s="1019"/>
      <c r="E55" s="1019"/>
      <c r="F55" s="1019"/>
      <c r="G55" s="1019"/>
      <c r="H55" s="1019"/>
      <c r="I55" s="1019"/>
      <c r="J55" s="1019"/>
      <c r="K55" s="1019"/>
    </row>
    <row r="56" spans="1:11">
      <c r="A56" s="1019"/>
      <c r="B56" s="1019"/>
      <c r="C56" s="1019"/>
      <c r="D56" s="1019"/>
      <c r="E56" s="1019"/>
      <c r="F56" s="1019"/>
      <c r="G56" s="1019"/>
      <c r="H56" s="1019"/>
      <c r="I56" s="1019"/>
      <c r="J56" s="1019"/>
      <c r="K56" s="1019"/>
    </row>
    <row r="57" spans="1:11">
      <c r="A57" s="1019"/>
      <c r="B57" s="1019"/>
      <c r="C57" s="1019"/>
      <c r="D57" s="1019"/>
      <c r="E57" s="1019"/>
      <c r="F57" s="1019"/>
      <c r="G57" s="1019"/>
      <c r="H57" s="1019"/>
      <c r="I57" s="1019"/>
      <c r="J57" s="1019"/>
      <c r="K57" s="1019"/>
    </row>
    <row r="58" spans="1:11">
      <c r="A58" s="1019"/>
      <c r="B58" s="1019"/>
      <c r="C58" s="1019"/>
      <c r="D58" s="1019"/>
      <c r="E58" s="1019"/>
      <c r="F58" s="1019"/>
      <c r="G58" s="1019"/>
      <c r="H58" s="1019"/>
      <c r="I58" s="1019"/>
      <c r="J58" s="1019"/>
      <c r="K58" s="1019"/>
    </row>
    <row r="59" spans="1:11">
      <c r="A59" s="1019"/>
      <c r="B59" s="1019"/>
      <c r="C59" s="1019"/>
      <c r="D59" s="1019"/>
      <c r="E59" s="1019"/>
      <c r="F59" s="1019"/>
      <c r="G59" s="1019"/>
      <c r="H59" s="1019"/>
      <c r="I59" s="1019"/>
      <c r="J59" s="1019"/>
      <c r="K59" s="1019"/>
    </row>
    <row r="60" spans="1:11">
      <c r="A60" s="1019"/>
      <c r="B60" s="1019"/>
      <c r="C60" s="1019"/>
      <c r="D60" s="1019"/>
      <c r="E60" s="1019"/>
      <c r="F60" s="1019"/>
      <c r="G60" s="1019"/>
      <c r="H60" s="1019"/>
      <c r="I60" s="1019"/>
      <c r="J60" s="1019"/>
      <c r="K60" s="1019"/>
    </row>
    <row r="61" spans="1:11">
      <c r="A61" s="1019"/>
      <c r="B61" s="1019"/>
      <c r="C61" s="1019"/>
      <c r="D61" s="1019"/>
      <c r="E61" s="1019"/>
      <c r="F61" s="1019"/>
      <c r="G61" s="1019"/>
      <c r="H61" s="1019"/>
      <c r="I61" s="1019"/>
      <c r="J61" s="1019"/>
      <c r="K61" s="1019"/>
    </row>
    <row r="62" spans="1:11">
      <c r="A62" s="1019"/>
      <c r="B62" s="1019"/>
      <c r="C62" s="1019"/>
      <c r="D62" s="1019"/>
      <c r="E62" s="1019"/>
      <c r="F62" s="1019"/>
      <c r="G62" s="1019"/>
      <c r="H62" s="1019"/>
      <c r="I62" s="1019"/>
      <c r="J62" s="1019"/>
      <c r="K62" s="1019"/>
    </row>
    <row r="63" spans="1:11">
      <c r="A63" s="1019"/>
      <c r="B63" s="1019"/>
      <c r="C63" s="1019"/>
      <c r="D63" s="1019"/>
      <c r="E63" s="1019"/>
      <c r="F63" s="1019"/>
      <c r="G63" s="1019"/>
      <c r="H63" s="1019"/>
      <c r="I63" s="1019"/>
      <c r="J63" s="1019"/>
      <c r="K63" s="1019"/>
    </row>
    <row r="70" spans="1:11">
      <c r="B70" s="1010"/>
    </row>
    <row r="71" spans="1:11">
      <c r="B71" s="975"/>
    </row>
    <row r="72" spans="1:11">
      <c r="B72" s="975"/>
    </row>
    <row r="73" spans="1:11">
      <c r="B73" s="975"/>
    </row>
    <row r="74" spans="1:11">
      <c r="B74" s="975"/>
    </row>
    <row r="75" spans="1:11">
      <c r="A75" s="1023"/>
      <c r="B75" s="1019"/>
      <c r="C75" s="1019"/>
      <c r="D75" s="1019"/>
      <c r="E75" s="1019"/>
      <c r="F75" s="1019"/>
      <c r="G75" s="1019"/>
      <c r="H75" s="1019"/>
      <c r="I75" s="1019"/>
      <c r="J75" s="1019"/>
      <c r="K75" s="1019"/>
    </row>
    <row r="76" spans="1:11">
      <c r="A76" s="1019"/>
      <c r="B76" s="1019"/>
      <c r="C76" s="1019"/>
      <c r="D76" s="1019"/>
      <c r="E76" s="1019"/>
      <c r="F76" s="1019"/>
      <c r="G76" s="1019"/>
      <c r="H76" s="1019"/>
      <c r="I76" s="1019"/>
      <c r="J76" s="1019"/>
      <c r="K76" s="1019"/>
    </row>
    <row r="77" spans="1:11">
      <c r="A77" s="1019"/>
      <c r="B77" s="1019"/>
      <c r="C77" s="1019"/>
      <c r="D77" s="1019"/>
      <c r="E77" s="1019"/>
      <c r="F77" s="1019"/>
      <c r="G77" s="1019"/>
      <c r="H77" s="1019"/>
      <c r="I77" s="1019"/>
      <c r="J77" s="1019"/>
      <c r="K77" s="1019"/>
    </row>
    <row r="78" spans="1:11">
      <c r="A78" s="1019"/>
      <c r="B78" s="1019"/>
      <c r="C78" s="1019"/>
      <c r="D78" s="1019"/>
      <c r="E78" s="1019"/>
      <c r="F78" s="1019"/>
      <c r="G78" s="1019"/>
      <c r="H78" s="1019"/>
      <c r="I78" s="1019"/>
      <c r="J78" s="1019"/>
      <c r="K78" s="1019"/>
    </row>
    <row r="79" spans="1:11">
      <c r="A79" s="1019"/>
      <c r="B79" s="1019"/>
      <c r="C79" s="1019"/>
      <c r="D79" s="1024"/>
      <c r="E79" s="1024"/>
      <c r="F79" s="1024"/>
      <c r="G79" s="1019"/>
      <c r="H79" s="1019"/>
      <c r="I79" s="1019"/>
      <c r="J79" s="1019"/>
      <c r="K79" s="1019"/>
    </row>
    <row r="80" spans="1:11">
      <c r="A80" s="1019"/>
      <c r="B80" s="1019"/>
      <c r="C80" s="1019"/>
      <c r="D80" s="1021"/>
      <c r="E80" s="1021"/>
      <c r="F80" s="1021"/>
      <c r="G80" s="1019"/>
      <c r="H80" s="1019"/>
      <c r="I80" s="1019"/>
      <c r="J80" s="1019"/>
      <c r="K80" s="1019"/>
    </row>
    <row r="81" spans="1:11">
      <c r="A81" s="1019"/>
      <c r="B81" s="1019"/>
      <c r="C81" s="1019"/>
      <c r="D81" s="1024"/>
      <c r="E81" s="1024"/>
      <c r="F81" s="1024"/>
      <c r="G81" s="1019"/>
      <c r="H81" s="1019"/>
      <c r="I81" s="1019"/>
      <c r="J81" s="1019"/>
      <c r="K81" s="1019"/>
    </row>
    <row r="82" spans="1:11">
      <c r="A82" s="1019"/>
      <c r="B82" s="1019"/>
      <c r="C82" s="1019"/>
      <c r="D82" s="1019"/>
      <c r="E82" s="1019"/>
      <c r="F82" s="1019"/>
      <c r="G82" s="1019"/>
      <c r="H82" s="1019"/>
      <c r="I82" s="1019"/>
      <c r="J82" s="1019"/>
      <c r="K82" s="1019"/>
    </row>
    <row r="83" spans="1:11">
      <c r="A83" s="1019"/>
      <c r="B83" s="1019"/>
      <c r="C83" s="1019"/>
      <c r="D83" s="1019"/>
      <c r="E83" s="1019"/>
      <c r="F83" s="1019"/>
      <c r="G83" s="1019"/>
      <c r="H83" s="1019"/>
      <c r="I83" s="1019"/>
      <c r="J83" s="1019"/>
      <c r="K83" s="1019"/>
    </row>
    <row r="84" spans="1:11">
      <c r="A84" s="1019"/>
      <c r="B84" s="1019"/>
      <c r="C84" s="1019"/>
      <c r="D84" s="1019"/>
      <c r="E84" s="1019"/>
      <c r="F84" s="1019"/>
      <c r="G84" s="1019"/>
      <c r="H84" s="1019"/>
      <c r="I84" s="1019"/>
      <c r="J84" s="1019"/>
      <c r="K84" s="1019"/>
    </row>
    <row r="85" spans="1:11">
      <c r="A85" s="1019"/>
      <c r="C85" s="1019"/>
      <c r="D85" s="1019"/>
      <c r="E85" s="1019"/>
      <c r="F85" s="1019"/>
      <c r="G85" s="1019"/>
      <c r="H85" s="1019"/>
      <c r="I85" s="1019"/>
      <c r="J85" s="1019"/>
      <c r="K85" s="1019"/>
    </row>
    <row r="86" spans="1:11">
      <c r="A86" s="1019"/>
      <c r="B86" s="1019"/>
      <c r="C86" s="1019"/>
      <c r="D86" s="1019"/>
      <c r="E86" s="1019"/>
      <c r="F86" s="1019"/>
      <c r="G86" s="1019"/>
      <c r="H86" s="1019"/>
      <c r="I86" s="1019"/>
      <c r="J86" s="1019"/>
      <c r="K86" s="1019"/>
    </row>
    <row r="87" spans="1:11">
      <c r="A87" s="1019"/>
      <c r="B87" s="1019"/>
      <c r="C87" s="1019"/>
      <c r="D87" s="1019"/>
      <c r="E87" s="1019"/>
      <c r="F87" s="1019"/>
      <c r="G87" s="1019"/>
      <c r="H87" s="1019"/>
      <c r="I87" s="1019"/>
      <c r="J87" s="1019"/>
      <c r="K87" s="1019"/>
    </row>
  </sheetData>
  <mergeCells count="10">
    <mergeCell ref="R16:R17"/>
    <mergeCell ref="B27:C27"/>
    <mergeCell ref="B30:J35"/>
    <mergeCell ref="B39:J40"/>
    <mergeCell ref="B44:I45"/>
    <mergeCell ref="I9:J9"/>
    <mergeCell ref="K9:M9"/>
    <mergeCell ref="N9:O9"/>
    <mergeCell ref="P9:Q9"/>
    <mergeCell ref="P11:Q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3787-3B10-4689-BD9D-7A9BA80752D1}">
  <dimension ref="A1:O42"/>
  <sheetViews>
    <sheetView tabSelected="1" workbookViewId="0">
      <selection activeCell="L25" sqref="L25"/>
    </sheetView>
  </sheetViews>
  <sheetFormatPr defaultRowHeight="12.75"/>
  <cols>
    <col min="1" max="4" width="9.140625" style="1038"/>
    <col min="5" max="5" width="30.28515625" style="1038" bestFit="1" customWidth="1"/>
    <col min="6" max="6" width="13" style="1038" customWidth="1"/>
    <col min="7" max="7" width="9.140625" style="1038"/>
    <col min="8" max="8" width="15.28515625" style="1038" customWidth="1"/>
    <col min="9" max="9" width="2.42578125" style="1038" customWidth="1"/>
    <col min="10" max="10" width="14.7109375" style="1038" customWidth="1"/>
    <col min="11" max="11" width="2.5703125" style="1038" customWidth="1"/>
    <col min="12" max="12" width="18.42578125" style="1038" customWidth="1"/>
    <col min="13" max="13" width="13.42578125" style="1038" customWidth="1"/>
    <col min="14" max="14" width="4.42578125" style="1038" customWidth="1"/>
    <col min="15" max="15" width="15.28515625" style="1038" customWidth="1"/>
    <col min="16" max="16384" width="9.140625" style="1038"/>
  </cols>
  <sheetData>
    <row r="1" spans="1:15" ht="15">
      <c r="A1" s="1037" t="s">
        <v>933</v>
      </c>
      <c r="L1" s="1039"/>
      <c r="M1" s="1039"/>
      <c r="N1" s="1040"/>
      <c r="O1" s="1041" t="s">
        <v>934</v>
      </c>
    </row>
    <row r="2" spans="1:15">
      <c r="A2" s="1037" t="s">
        <v>935</v>
      </c>
      <c r="N2" s="1040"/>
      <c r="O2" s="1042" t="s">
        <v>936</v>
      </c>
    </row>
    <row r="3" spans="1:15">
      <c r="A3" s="1037" t="s">
        <v>937</v>
      </c>
      <c r="N3" s="1040"/>
      <c r="O3" s="1042" t="s">
        <v>938</v>
      </c>
    </row>
    <row r="4" spans="1:15">
      <c r="A4" s="1037" t="s">
        <v>939</v>
      </c>
      <c r="N4" s="1040"/>
      <c r="O4" s="1041" t="s">
        <v>940</v>
      </c>
    </row>
    <row r="5" spans="1:15">
      <c r="A5" s="1037" t="s">
        <v>941</v>
      </c>
      <c r="N5" s="1040"/>
      <c r="O5" s="1043"/>
    </row>
    <row r="6" spans="1:15">
      <c r="A6" s="1037" t="s">
        <v>813</v>
      </c>
      <c r="N6" s="1040"/>
    </row>
    <row r="7" spans="1:15">
      <c r="A7" s="1161" t="s">
        <v>942</v>
      </c>
      <c r="B7" s="1161"/>
      <c r="C7" s="1161"/>
      <c r="D7" s="1161"/>
      <c r="E7" s="1161"/>
      <c r="F7" s="1161"/>
      <c r="G7" s="1161"/>
      <c r="H7" s="1161"/>
      <c r="I7" s="1161"/>
      <c r="J7" s="1161"/>
      <c r="K7" s="1161"/>
      <c r="L7" s="1161"/>
      <c r="M7" s="1044"/>
      <c r="N7" s="1040"/>
    </row>
    <row r="8" spans="1:15">
      <c r="A8" s="1037"/>
      <c r="N8" s="1040"/>
    </row>
    <row r="9" spans="1:15">
      <c r="A9" s="1045" t="s">
        <v>438</v>
      </c>
      <c r="B9" s="1046" t="s">
        <v>439</v>
      </c>
      <c r="C9" s="1046"/>
      <c r="D9" s="1046" t="s">
        <v>440</v>
      </c>
      <c r="E9" s="1046" t="s">
        <v>441</v>
      </c>
      <c r="F9" s="1046" t="s">
        <v>442</v>
      </c>
      <c r="G9" s="1046"/>
      <c r="H9" s="1046" t="s">
        <v>943</v>
      </c>
      <c r="I9" s="1046"/>
      <c r="J9" s="1046" t="s">
        <v>444</v>
      </c>
      <c r="K9" s="1046"/>
      <c r="L9" s="1046" t="s">
        <v>944</v>
      </c>
      <c r="M9" s="1046" t="s">
        <v>446</v>
      </c>
      <c r="N9" s="1040"/>
      <c r="O9" s="1046" t="s">
        <v>945</v>
      </c>
    </row>
    <row r="10" spans="1:15">
      <c r="A10" s="1047"/>
      <c r="F10" s="1048"/>
      <c r="G10" s="1048"/>
      <c r="H10" s="1048"/>
      <c r="N10" s="1040"/>
    </row>
    <row r="11" spans="1:15" ht="63.75">
      <c r="A11" s="1047" t="s">
        <v>946</v>
      </c>
      <c r="B11" s="1038" t="s">
        <v>947</v>
      </c>
      <c r="D11" s="1049" t="s">
        <v>948</v>
      </c>
      <c r="E11" s="1046" t="s">
        <v>831</v>
      </c>
      <c r="F11" s="1049" t="s">
        <v>949</v>
      </c>
      <c r="G11" s="1049"/>
      <c r="H11" s="1049" t="s">
        <v>950</v>
      </c>
      <c r="J11" s="1049" t="s">
        <v>951</v>
      </c>
      <c r="L11" s="1049" t="s">
        <v>952</v>
      </c>
      <c r="M11" s="1049" t="s">
        <v>953</v>
      </c>
      <c r="N11" s="1040"/>
      <c r="O11" s="1049" t="s">
        <v>954</v>
      </c>
    </row>
    <row r="12" spans="1:15">
      <c r="A12" s="1037"/>
      <c r="D12" s="1040"/>
      <c r="E12" s="1040"/>
      <c r="F12" s="1040"/>
      <c r="G12" s="1040"/>
      <c r="H12" s="1040"/>
      <c r="I12" s="1040"/>
      <c r="J12" s="1040"/>
      <c r="K12" s="1040"/>
      <c r="L12" s="1040"/>
      <c r="M12" s="1040"/>
      <c r="N12" s="1040"/>
    </row>
    <row r="13" spans="1:15">
      <c r="A13" s="1050">
        <v>1</v>
      </c>
      <c r="B13" s="1051" t="s">
        <v>955</v>
      </c>
      <c r="D13" s="1040">
        <v>30979</v>
      </c>
      <c r="E13" s="1040" t="s">
        <v>956</v>
      </c>
      <c r="K13" s="1040"/>
      <c r="L13" s="1040"/>
      <c r="M13" s="1040"/>
      <c r="N13" s="1040"/>
    </row>
    <row r="14" spans="1:15">
      <c r="A14" s="1050">
        <f>+A13+1</f>
        <v>2</v>
      </c>
      <c r="B14" s="1051"/>
      <c r="D14" s="1052">
        <v>16823.240000000002</v>
      </c>
      <c r="E14" s="1040" t="s">
        <v>957</v>
      </c>
      <c r="F14" s="1053"/>
      <c r="G14" s="1054"/>
      <c r="H14" s="1053"/>
      <c r="I14" s="1053"/>
      <c r="J14" s="1053"/>
      <c r="K14" s="1040"/>
      <c r="L14" s="1040"/>
      <c r="M14" s="1040"/>
      <c r="N14" s="1040"/>
    </row>
    <row r="15" spans="1:15">
      <c r="A15" s="1050">
        <f>+A14+1</f>
        <v>3</v>
      </c>
      <c r="B15" s="1051" t="s">
        <v>958</v>
      </c>
      <c r="D15" s="1040">
        <f>+D13-D14</f>
        <v>14155.759999999998</v>
      </c>
      <c r="F15" s="1053">
        <v>4955.3</v>
      </c>
      <c r="G15" s="1054"/>
      <c r="H15" s="1055">
        <f>+F15/D15</f>
        <v>0.35005538381549284</v>
      </c>
      <c r="J15" s="1053">
        <f>-F15</f>
        <v>-4955.3</v>
      </c>
      <c r="K15" s="1053"/>
      <c r="L15" s="1053">
        <f>+F15+J15</f>
        <v>0</v>
      </c>
      <c r="M15" s="1053" t="s">
        <v>847</v>
      </c>
      <c r="N15" s="1040"/>
      <c r="O15" s="1040">
        <f>+D15-L15</f>
        <v>14155.759999999998</v>
      </c>
    </row>
    <row r="16" spans="1:15">
      <c r="A16" s="1037"/>
      <c r="B16" s="1051"/>
      <c r="D16" s="1040"/>
      <c r="E16" s="1040"/>
      <c r="F16" s="1056"/>
      <c r="G16" s="1054"/>
      <c r="J16" s="1053"/>
      <c r="K16" s="1053"/>
      <c r="L16" s="1053"/>
      <c r="M16" s="1053"/>
      <c r="N16" s="1040"/>
      <c r="O16" s="1040"/>
    </row>
    <row r="17" spans="1:15">
      <c r="A17" s="1050">
        <f>+A15+1</f>
        <v>4</v>
      </c>
      <c r="B17" s="1051" t="s">
        <v>959</v>
      </c>
      <c r="D17" s="1040">
        <v>-24138</v>
      </c>
      <c r="E17" s="1040" t="s">
        <v>960</v>
      </c>
      <c r="F17" s="1053">
        <v>-9654.89</v>
      </c>
      <c r="G17" s="1056"/>
      <c r="H17" s="1055">
        <f>+F17/D17</f>
        <v>0.39998715717955091</v>
      </c>
      <c r="J17" s="1053">
        <v>0</v>
      </c>
      <c r="K17" s="1053"/>
      <c r="L17" s="1053">
        <f>+F17+J17</f>
        <v>-9654.89</v>
      </c>
      <c r="M17" s="1053" t="s">
        <v>843</v>
      </c>
      <c r="N17" s="1040"/>
      <c r="O17" s="1040">
        <f>+D17-L17</f>
        <v>-14483.11</v>
      </c>
    </row>
    <row r="18" spans="1:15">
      <c r="A18" s="1050"/>
      <c r="B18" s="1051"/>
      <c r="D18" s="1040"/>
      <c r="E18" s="1040"/>
      <c r="F18" s="1053"/>
      <c r="G18" s="1053"/>
      <c r="J18" s="1053"/>
      <c r="K18" s="1053"/>
      <c r="L18" s="1053"/>
      <c r="M18" s="1053"/>
      <c r="N18" s="1040"/>
      <c r="O18" s="1040"/>
    </row>
    <row r="19" spans="1:15">
      <c r="A19" s="1050">
        <f>+A17+1</f>
        <v>5</v>
      </c>
      <c r="B19" s="1051" t="s">
        <v>961</v>
      </c>
      <c r="D19" s="1040">
        <v>-23866</v>
      </c>
      <c r="E19" s="1040" t="s">
        <v>962</v>
      </c>
      <c r="N19" s="1040"/>
      <c r="O19" s="1040"/>
    </row>
    <row r="20" spans="1:15">
      <c r="A20" s="1050">
        <f>+A19+1</f>
        <v>6</v>
      </c>
      <c r="B20" s="1051"/>
      <c r="D20" s="1052">
        <v>-17978</v>
      </c>
      <c r="E20" s="1040" t="s">
        <v>963</v>
      </c>
      <c r="F20" s="1053"/>
      <c r="G20" s="1057"/>
      <c r="H20" s="1055"/>
      <c r="J20" s="1053"/>
      <c r="K20" s="1053"/>
      <c r="L20" s="1053"/>
      <c r="M20" s="1053"/>
      <c r="N20" s="1040"/>
      <c r="O20" s="1040"/>
    </row>
    <row r="21" spans="1:15">
      <c r="A21" s="1050">
        <f>+A20+1</f>
        <v>7</v>
      </c>
      <c r="B21" s="1051" t="s">
        <v>964</v>
      </c>
      <c r="D21" s="1040">
        <f>+D19-D20</f>
        <v>-5888</v>
      </c>
      <c r="E21" s="1040"/>
      <c r="F21" s="1053">
        <v>-2355.25</v>
      </c>
      <c r="G21" s="1057"/>
      <c r="H21" s="1055">
        <f>+F21/D21</f>
        <v>0.40000849184782611</v>
      </c>
      <c r="J21" s="1053">
        <f>-J15-J17</f>
        <v>4955.3</v>
      </c>
      <c r="K21" s="1053"/>
      <c r="L21" s="1053">
        <f>+F21+J21</f>
        <v>2600.0500000000002</v>
      </c>
      <c r="M21" s="1053" t="s">
        <v>847</v>
      </c>
      <c r="N21" s="1040"/>
      <c r="O21" s="1040">
        <f>+D21-L21</f>
        <v>-8488.0499999999993</v>
      </c>
    </row>
    <row r="22" spans="1:15">
      <c r="A22" s="1037"/>
      <c r="D22" s="1040"/>
      <c r="E22" s="1040"/>
      <c r="F22" s="1053"/>
      <c r="G22" s="1058"/>
      <c r="J22" s="1053"/>
      <c r="K22" s="1053"/>
      <c r="L22" s="1053"/>
      <c r="M22" s="1053"/>
      <c r="N22" s="1040"/>
    </row>
    <row r="23" spans="1:15">
      <c r="A23" s="1050">
        <f>+A21+1</f>
        <v>8</v>
      </c>
      <c r="B23" s="1038" t="s">
        <v>410</v>
      </c>
      <c r="D23" s="1059">
        <f>+D15+D17+D21</f>
        <v>-15870.240000000002</v>
      </c>
      <c r="E23" s="1040"/>
      <c r="F23" s="1059">
        <f>SUM(F14:F21)</f>
        <v>-7054.8399999999992</v>
      </c>
      <c r="J23" s="1059">
        <f>+J15+J17+J21</f>
        <v>0</v>
      </c>
      <c r="K23" s="1040"/>
      <c r="L23" s="1059">
        <f>+L15+L17+L21</f>
        <v>-7054.8399999999992</v>
      </c>
      <c r="M23" s="1060"/>
      <c r="N23" s="1040"/>
      <c r="O23" s="1059">
        <f>+O15+O17+O21</f>
        <v>-8815.4000000000015</v>
      </c>
    </row>
    <row r="24" spans="1:15">
      <c r="A24" s="1037"/>
      <c r="D24" s="1040"/>
      <c r="E24" s="1061"/>
      <c r="F24" s="1055"/>
      <c r="G24" s="1040"/>
      <c r="H24" s="1040"/>
      <c r="I24" s="1040"/>
      <c r="J24" s="1040"/>
      <c r="K24" s="1040"/>
      <c r="L24" s="1040"/>
      <c r="M24" s="1040"/>
      <c r="N24" s="1040"/>
    </row>
    <row r="25" spans="1:15">
      <c r="A25" s="1037"/>
      <c r="D25" s="1040"/>
      <c r="E25" s="1061"/>
      <c r="F25" s="1055"/>
      <c r="G25" s="1040"/>
      <c r="H25" s="1040"/>
      <c r="I25" s="1040"/>
      <c r="J25" s="1040"/>
      <c r="K25" s="1040"/>
      <c r="L25" s="1040"/>
      <c r="M25" s="1040"/>
      <c r="N25" s="1040"/>
    </row>
    <row r="26" spans="1:15">
      <c r="A26" s="1162" t="s">
        <v>965</v>
      </c>
      <c r="B26" s="1162"/>
      <c r="C26" s="1162"/>
      <c r="D26" s="1162"/>
      <c r="E26" s="1162"/>
      <c r="F26" s="1162"/>
      <c r="G26" s="1162"/>
      <c r="H26" s="1162"/>
      <c r="I26" s="1162"/>
      <c r="J26" s="1062"/>
      <c r="K26" s="1062"/>
      <c r="L26" s="1040"/>
      <c r="M26" s="1040"/>
      <c r="N26" s="1040"/>
    </row>
    <row r="27" spans="1:15">
      <c r="A27" s="1162"/>
      <c r="B27" s="1162"/>
      <c r="C27" s="1162"/>
      <c r="D27" s="1162"/>
      <c r="E27" s="1162"/>
      <c r="F27" s="1162"/>
      <c r="G27" s="1162"/>
      <c r="H27" s="1162"/>
      <c r="I27" s="1162"/>
      <c r="J27" s="1062"/>
      <c r="K27" s="1062"/>
      <c r="L27" s="1040"/>
      <c r="M27" s="1040"/>
      <c r="N27" s="1040"/>
    </row>
    <row r="28" spans="1:15">
      <c r="A28" s="1162"/>
      <c r="B28" s="1162"/>
      <c r="C28" s="1162"/>
      <c r="D28" s="1162"/>
      <c r="E28" s="1162"/>
      <c r="F28" s="1162"/>
      <c r="G28" s="1162"/>
      <c r="H28" s="1162"/>
      <c r="I28" s="1162"/>
      <c r="J28" s="1062"/>
      <c r="K28" s="1062"/>
      <c r="L28" s="1040"/>
      <c r="M28" s="1040"/>
      <c r="N28" s="1040"/>
    </row>
    <row r="29" spans="1:15">
      <c r="A29" s="1063"/>
      <c r="B29" s="1063"/>
      <c r="C29" s="1063"/>
      <c r="D29" s="1063"/>
      <c r="E29" s="1063"/>
      <c r="F29" s="1063"/>
      <c r="G29" s="1063"/>
      <c r="H29" s="1063"/>
      <c r="I29" s="1063"/>
      <c r="J29" s="1062"/>
      <c r="K29" s="1062"/>
      <c r="L29" s="1040"/>
      <c r="M29" s="1040"/>
      <c r="N29" s="1040"/>
    </row>
    <row r="30" spans="1:15" ht="12.75" customHeight="1">
      <c r="A30" s="1064" t="s">
        <v>966</v>
      </c>
      <c r="B30" s="1163" t="s">
        <v>967</v>
      </c>
      <c r="C30" s="1163"/>
      <c r="D30" s="1163"/>
      <c r="E30" s="1163"/>
      <c r="F30" s="1163"/>
      <c r="G30" s="1163"/>
      <c r="H30" s="1163"/>
      <c r="I30" s="1163"/>
      <c r="J30" s="1163"/>
      <c r="K30" s="1163"/>
      <c r="L30" s="1163"/>
      <c r="M30" s="1163"/>
      <c r="N30" s="1163"/>
      <c r="O30" s="1163"/>
    </row>
    <row r="31" spans="1:15">
      <c r="A31" s="1064"/>
      <c r="B31" s="1163"/>
      <c r="C31" s="1163"/>
      <c r="D31" s="1163"/>
      <c r="E31" s="1163"/>
      <c r="F31" s="1163"/>
      <c r="G31" s="1163"/>
      <c r="H31" s="1163"/>
      <c r="I31" s="1163"/>
      <c r="J31" s="1163"/>
      <c r="K31" s="1163"/>
      <c r="L31" s="1163"/>
      <c r="M31" s="1163"/>
      <c r="N31" s="1163"/>
      <c r="O31" s="1163"/>
    </row>
    <row r="32" spans="1:15">
      <c r="A32" s="1064"/>
      <c r="B32" s="1163"/>
      <c r="C32" s="1163"/>
      <c r="D32" s="1163"/>
      <c r="E32" s="1163"/>
      <c r="F32" s="1163"/>
      <c r="G32" s="1163"/>
      <c r="H32" s="1163"/>
      <c r="I32" s="1163"/>
      <c r="J32" s="1163"/>
      <c r="K32" s="1163"/>
      <c r="L32" s="1163"/>
      <c r="M32" s="1163"/>
      <c r="N32" s="1163"/>
      <c r="O32" s="1163"/>
    </row>
    <row r="33" spans="1:15">
      <c r="A33" s="1065"/>
      <c r="B33" s="1066"/>
      <c r="C33" s="1066"/>
      <c r="D33" s="1066"/>
      <c r="E33" s="1066"/>
      <c r="F33" s="1066"/>
      <c r="G33" s="1066"/>
      <c r="H33" s="1066"/>
      <c r="I33" s="1066"/>
      <c r="J33" s="1066"/>
      <c r="K33" s="1066"/>
      <c r="N33" s="1040"/>
    </row>
    <row r="34" spans="1:15" ht="12.75" customHeight="1">
      <c r="A34" s="1047" t="s">
        <v>968</v>
      </c>
      <c r="B34" s="1164" t="s">
        <v>969</v>
      </c>
      <c r="C34" s="1164"/>
      <c r="D34" s="1164"/>
      <c r="E34" s="1164"/>
      <c r="F34" s="1164"/>
      <c r="G34" s="1164"/>
      <c r="H34" s="1164"/>
      <c r="I34" s="1164"/>
      <c r="J34" s="1164"/>
      <c r="K34" s="1164"/>
      <c r="L34" s="1164"/>
      <c r="M34" s="1164"/>
      <c r="N34" s="1040"/>
    </row>
    <row r="35" spans="1:15">
      <c r="A35" s="1047"/>
      <c r="B35" s="1164"/>
      <c r="C35" s="1164"/>
      <c r="D35" s="1164"/>
      <c r="E35" s="1164"/>
      <c r="F35" s="1164"/>
      <c r="G35" s="1164"/>
      <c r="H35" s="1164"/>
      <c r="I35" s="1164"/>
      <c r="J35" s="1164"/>
      <c r="K35" s="1164"/>
      <c r="L35" s="1164"/>
      <c r="M35" s="1164"/>
      <c r="N35" s="1040"/>
    </row>
    <row r="36" spans="1:15">
      <c r="A36" s="1047"/>
      <c r="N36" s="1040"/>
    </row>
    <row r="37" spans="1:15" ht="12.75" customHeight="1">
      <c r="A37" s="1047" t="s">
        <v>970</v>
      </c>
      <c r="B37" s="1164" t="s">
        <v>971</v>
      </c>
      <c r="C37" s="1164"/>
      <c r="D37" s="1164"/>
      <c r="E37" s="1164"/>
      <c r="F37" s="1164"/>
      <c r="G37" s="1164"/>
      <c r="H37" s="1164"/>
      <c r="I37" s="1164"/>
      <c r="J37" s="1164"/>
      <c r="K37" s="1164"/>
      <c r="N37" s="1040"/>
    </row>
    <row r="38" spans="1:15">
      <c r="A38" s="1047"/>
      <c r="B38" s="1164"/>
      <c r="C38" s="1164"/>
      <c r="D38" s="1164"/>
      <c r="E38" s="1164"/>
      <c r="F38" s="1164"/>
      <c r="G38" s="1164"/>
      <c r="H38" s="1164"/>
      <c r="I38" s="1164"/>
      <c r="J38" s="1164"/>
      <c r="K38" s="1164"/>
      <c r="N38" s="1040"/>
    </row>
    <row r="40" spans="1:15" ht="12.75" customHeight="1">
      <c r="A40" s="1047" t="s">
        <v>972</v>
      </c>
      <c r="B40" s="1160" t="s">
        <v>973</v>
      </c>
      <c r="C40" s="1160"/>
      <c r="D40" s="1160"/>
      <c r="E40" s="1160"/>
      <c r="F40" s="1160"/>
      <c r="G40" s="1160"/>
      <c r="H40" s="1160"/>
      <c r="I40" s="1160"/>
      <c r="J40" s="1160"/>
      <c r="K40" s="1160"/>
      <c r="L40" s="1160"/>
      <c r="M40" s="1160"/>
      <c r="N40" s="1160"/>
      <c r="O40" s="1160"/>
    </row>
    <row r="41" spans="1:15">
      <c r="A41" s="1047"/>
      <c r="B41" s="1047"/>
      <c r="C41" s="1047"/>
      <c r="D41" s="1047"/>
      <c r="E41" s="1047"/>
      <c r="F41" s="1047"/>
      <c r="G41" s="1047"/>
      <c r="H41" s="1047"/>
    </row>
    <row r="42" spans="1:15">
      <c r="O42" s="1040"/>
    </row>
  </sheetData>
  <mergeCells count="6">
    <mergeCell ref="B40:O40"/>
    <mergeCell ref="A7:L7"/>
    <mergeCell ref="A26:I28"/>
    <mergeCell ref="B30:O32"/>
    <mergeCell ref="B34:M35"/>
    <mergeCell ref="B37:K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07"/>
  <sheetViews>
    <sheetView tabSelected="1" view="pageBreakPreview" zoomScale="70" zoomScaleNormal="75" zoomScaleSheetLayoutView="70" workbookViewId="0">
      <selection activeCell="L25" sqref="L25"/>
    </sheetView>
  </sheetViews>
  <sheetFormatPr defaultColWidth="11.42578125" defaultRowHeight="12.75"/>
  <cols>
    <col min="1" max="1" width="8.140625" style="297" customWidth="1"/>
    <col min="2" max="2" width="12.140625" style="296" customWidth="1"/>
    <col min="3" max="3" width="41.7109375" style="296" customWidth="1"/>
    <col min="4" max="4" width="30" style="296" customWidth="1"/>
    <col min="5" max="5" width="22.140625" style="296" customWidth="1"/>
    <col min="6" max="6" width="1" style="296" customWidth="1"/>
    <col min="7" max="7" width="20.85546875" style="296" customWidth="1"/>
    <col min="8" max="8" width="1" style="296" customWidth="1"/>
    <col min="9" max="9" width="19.140625" style="296" customWidth="1"/>
    <col min="10" max="10" width="16.7109375" style="296" customWidth="1"/>
    <col min="11" max="11" width="15.28515625" style="296" customWidth="1"/>
    <col min="12" max="12" width="34" style="296" customWidth="1"/>
    <col min="13" max="13" width="21.28515625" style="296" customWidth="1"/>
    <col min="14" max="14" width="13.42578125" style="296" customWidth="1"/>
    <col min="15" max="15" width="13.7109375" style="296" customWidth="1"/>
    <col min="16" max="16384" width="11.42578125" style="296"/>
  </cols>
  <sheetData>
    <row r="1" spans="1:15" ht="15.75">
      <c r="A1" s="739" t="s">
        <v>406</v>
      </c>
    </row>
    <row r="2" spans="1:15" ht="15.75">
      <c r="A2" s="739" t="s">
        <v>406</v>
      </c>
    </row>
    <row r="3" spans="1:15"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140" t="str">
        <f>TCOS!$F$5</f>
        <v>AEPTCo subsidiaries in PJM</v>
      </c>
      <c r="G3" s="1140" t="str">
        <f>TCOS!$F$5</f>
        <v>AEPTCo subsidiaries in PJM</v>
      </c>
      <c r="H3" s="1140" t="str">
        <f>TCOS!$F$5</f>
        <v>AEPTCo subsidiaries in PJM</v>
      </c>
      <c r="I3" s="1140" t="str">
        <f>TCOS!$F$5</f>
        <v>AEPTCo subsidiaries in PJM</v>
      </c>
      <c r="J3" s="1140" t="str">
        <f>TCOS!$F$5</f>
        <v>AEPTCo subsidiaries in PJM</v>
      </c>
      <c r="K3" s="1140" t="str">
        <f>TCOS!$F$5</f>
        <v>AEPTCo subsidiaries in PJM</v>
      </c>
      <c r="L3" s="1140" t="str">
        <f>TCOS!$F$5</f>
        <v>AEPTCo subsidiaries in PJM</v>
      </c>
      <c r="M3" s="17"/>
      <c r="N3" s="17"/>
      <c r="O3" s="17"/>
    </row>
    <row r="4" spans="1:15" ht="15">
      <c r="A4" s="1141" t="str">
        <f>"Cost of Service Formula Rate Using Actual/Projected FF1 Balances"</f>
        <v>Cost of Service Formula Rate Using Actual/Projected FF1 Balances</v>
      </c>
      <c r="B4" s="1141"/>
      <c r="C4" s="1141"/>
      <c r="D4" s="1141"/>
      <c r="E4" s="1141"/>
      <c r="F4" s="1141"/>
      <c r="G4" s="1141"/>
      <c r="H4" s="1141"/>
      <c r="I4" s="1141"/>
      <c r="J4" s="1141"/>
      <c r="K4" s="1141"/>
      <c r="L4" s="1141"/>
      <c r="M4" s="45"/>
      <c r="N4" s="45"/>
      <c r="O4" s="45"/>
    </row>
    <row r="5" spans="1:15" ht="15">
      <c r="A5" s="1141" t="s">
        <v>283</v>
      </c>
      <c r="B5" s="1141"/>
      <c r="C5" s="1141"/>
      <c r="D5" s="1141"/>
      <c r="E5" s="1141"/>
      <c r="F5" s="1141"/>
      <c r="G5" s="1141"/>
      <c r="H5" s="1141"/>
      <c r="I5" s="1141"/>
      <c r="J5" s="1141"/>
      <c r="K5" s="1141"/>
      <c r="L5" s="1141"/>
      <c r="M5" s="44"/>
      <c r="N5" s="44"/>
      <c r="O5" s="44"/>
    </row>
    <row r="6" spans="1:15" ht="15">
      <c r="A6" s="1151" t="str">
        <f>TCOS!F9</f>
        <v>AEP Appalachian Transmission Company</v>
      </c>
      <c r="B6" s="1151"/>
      <c r="C6" s="1151"/>
      <c r="D6" s="1151"/>
      <c r="E6" s="1151"/>
      <c r="F6" s="1151"/>
      <c r="G6" s="1151"/>
      <c r="H6" s="1151"/>
      <c r="I6" s="1151"/>
      <c r="J6" s="1151"/>
      <c r="K6" s="1151"/>
      <c r="L6" s="1151"/>
      <c r="M6" s="2"/>
      <c r="N6" s="2"/>
      <c r="O6" s="2"/>
    </row>
    <row r="7" spans="1:15" ht="15">
      <c r="A7" s="2"/>
      <c r="B7" s="2"/>
      <c r="C7" s="2"/>
      <c r="D7" s="2"/>
      <c r="E7" s="2"/>
      <c r="F7" s="2"/>
      <c r="G7" s="2"/>
      <c r="H7"/>
    </row>
    <row r="8" spans="1:15" ht="12.75" customHeight="1">
      <c r="A8" s="307"/>
      <c r="B8" s="307" t="s">
        <v>452</v>
      </c>
      <c r="C8" s="307" t="s">
        <v>453</v>
      </c>
      <c r="D8" s="307" t="s">
        <v>323</v>
      </c>
      <c r="E8" s="307" t="s">
        <v>455</v>
      </c>
      <c r="F8" s="307"/>
      <c r="G8" s="307" t="s">
        <v>375</v>
      </c>
      <c r="H8" s="307"/>
      <c r="I8" s="307" t="s">
        <v>376</v>
      </c>
      <c r="J8" s="307" t="s">
        <v>377</v>
      </c>
      <c r="K8" s="307" t="s">
        <v>382</v>
      </c>
      <c r="L8" s="307" t="s">
        <v>288</v>
      </c>
      <c r="M8" s="307"/>
      <c r="N8" s="307"/>
      <c r="O8" s="307"/>
    </row>
    <row r="9" spans="1:15">
      <c r="A9" s="305"/>
    </row>
    <row r="10" spans="1:15" ht="18">
      <c r="A10" s="300"/>
      <c r="B10" s="1166" t="s">
        <v>489</v>
      </c>
      <c r="C10" s="1166"/>
      <c r="D10" s="1166"/>
      <c r="E10" s="1166"/>
      <c r="F10" s="1166"/>
      <c r="G10" s="1166"/>
      <c r="H10" s="1166"/>
      <c r="I10" s="1166"/>
      <c r="J10" s="1166"/>
      <c r="K10" s="1166"/>
    </row>
    <row r="11" spans="1:15">
      <c r="A11" s="300"/>
      <c r="I11"/>
      <c r="J11"/>
    </row>
    <row r="12" spans="1:15" ht="12.75" customHeight="1">
      <c r="A12" s="298" t="s">
        <v>459</v>
      </c>
      <c r="B12" s="300"/>
      <c r="C12" s="308"/>
      <c r="D12" s="309"/>
      <c r="E12" s="1168" t="str">
        <f>"Balance @ December 31, "&amp;TCOS!L4&amp;""</f>
        <v>Balance @ December 31, 2026</v>
      </c>
      <c r="F12" s="309"/>
      <c r="G12" s="1168" t="str">
        <f>"Balance @ December 31, "&amp;TCOS!L4-1&amp;""</f>
        <v>Balance @ December 31, 2025</v>
      </c>
      <c r="H12" s="310"/>
      <c r="I12" s="1170" t="str">
        <f>"Average Balance for "&amp;TCOS!L4&amp;""</f>
        <v>Average Balance for 2026</v>
      </c>
      <c r="J12" s="3"/>
      <c r="L12" s="307"/>
    </row>
    <row r="13" spans="1:15">
      <c r="A13" s="298" t="s">
        <v>397</v>
      </c>
      <c r="B13" s="297"/>
      <c r="C13" s="300"/>
      <c r="D13" s="311" t="s">
        <v>488</v>
      </c>
      <c r="E13" s="1169"/>
      <c r="F13" s="312"/>
      <c r="G13" s="1169"/>
      <c r="H13" s="313"/>
      <c r="I13" s="1169"/>
      <c r="J13" s="3"/>
      <c r="K13" s="314"/>
      <c r="L13" s="315"/>
      <c r="M13" s="299"/>
      <c r="N13" s="299"/>
    </row>
    <row r="14" spans="1:15">
      <c r="B14" s="297"/>
      <c r="C14" s="300"/>
      <c r="D14" s="316"/>
      <c r="E14" s="304"/>
      <c r="F14" s="304"/>
      <c r="G14" s="317"/>
      <c r="H14" s="303"/>
      <c r="J14"/>
      <c r="K14" s="314"/>
      <c r="L14" s="315"/>
      <c r="M14" s="299"/>
      <c r="N14" s="299"/>
    </row>
    <row r="15" spans="1:15">
      <c r="A15" s="297">
        <v>1</v>
      </c>
      <c r="B15" s="297"/>
      <c r="D15" s="36"/>
      <c r="E15" s="7"/>
      <c r="F15" s="304"/>
      <c r="G15" s="7"/>
      <c r="H15" s="7"/>
      <c r="I15" s="7"/>
      <c r="K15" s="7"/>
      <c r="L15" s="7"/>
      <c r="M15" s="299"/>
      <c r="N15" s="299"/>
    </row>
    <row r="16" spans="1:15">
      <c r="B16" s="297"/>
      <c r="C16" s="36"/>
      <c r="D16" s="36"/>
      <c r="E16" s="7"/>
      <c r="F16" s="304"/>
      <c r="G16" s="7"/>
      <c r="H16" s="7"/>
      <c r="I16" s="7"/>
      <c r="K16" s="7"/>
      <c r="L16" s="7"/>
      <c r="M16" s="299"/>
      <c r="N16" s="299"/>
    </row>
    <row r="17" spans="1:14">
      <c r="A17" s="297">
        <f>+A15+1</f>
        <v>2</v>
      </c>
      <c r="B17" s="297"/>
      <c r="C17" s="36" t="s">
        <v>316</v>
      </c>
      <c r="D17" s="301" t="s">
        <v>210</v>
      </c>
      <c r="E17" s="353">
        <v>0</v>
      </c>
      <c r="F17" s="304"/>
      <c r="G17" s="353">
        <v>0</v>
      </c>
      <c r="H17" s="7"/>
      <c r="I17" s="302">
        <f>IF(G17="",0,(E17+G17)/2)</f>
        <v>0</v>
      </c>
      <c r="J17"/>
      <c r="K17" s="302"/>
      <c r="L17" s="7"/>
      <c r="M17" s="299"/>
      <c r="N17" s="299"/>
    </row>
    <row r="18" spans="1:14">
      <c r="B18" s="297"/>
      <c r="C18" s="36"/>
      <c r="D18"/>
      <c r="E18"/>
      <c r="F18"/>
      <c r="G18"/>
      <c r="H18"/>
      <c r="I18" s="3"/>
      <c r="J18"/>
      <c r="K18"/>
      <c r="L18" s="7"/>
      <c r="M18" s="299"/>
      <c r="N18" s="299"/>
    </row>
    <row r="19" spans="1:14">
      <c r="B19" s="297"/>
      <c r="C19" s="36"/>
      <c r="D19" s="301"/>
      <c r="E19" s="353"/>
      <c r="F19" s="304"/>
      <c r="G19" s="353"/>
      <c r="H19" s="303"/>
      <c r="I19" s="302"/>
      <c r="J19"/>
      <c r="K19"/>
      <c r="L19" s="7"/>
      <c r="M19" s="299"/>
      <c r="N19" s="299"/>
    </row>
    <row r="20" spans="1:14">
      <c r="B20" s="297"/>
      <c r="C20" s="36"/>
      <c r="D20"/>
      <c r="E20"/>
      <c r="F20"/>
      <c r="G20"/>
      <c r="H20"/>
      <c r="I20" s="3"/>
      <c r="J20"/>
      <c r="K20"/>
      <c r="L20" s="7"/>
      <c r="M20" s="299"/>
      <c r="N20" s="299"/>
    </row>
    <row r="21" spans="1:14">
      <c r="A21" s="297">
        <f>+A17+1</f>
        <v>3</v>
      </c>
      <c r="B21" s="297"/>
      <c r="C21" s="36" t="s">
        <v>317</v>
      </c>
      <c r="D21" s="301" t="s">
        <v>211</v>
      </c>
      <c r="E21" s="353"/>
      <c r="F21" s="304"/>
      <c r="G21" s="353"/>
      <c r="H21" s="303"/>
      <c r="I21" s="302">
        <f>IF(G21="",0,(E21+G21)/2)</f>
        <v>0</v>
      </c>
      <c r="J21"/>
      <c r="K21" s="314"/>
      <c r="L21" s="315"/>
      <c r="M21" s="299"/>
      <c r="N21" s="299"/>
    </row>
    <row r="22" spans="1:14">
      <c r="B22" s="297"/>
      <c r="C22" s="36"/>
      <c r="D22" s="301"/>
      <c r="E22"/>
      <c r="F22"/>
      <c r="G22"/>
      <c r="H22"/>
      <c r="I22"/>
      <c r="J22"/>
      <c r="K22" s="314"/>
      <c r="L22" s="315"/>
      <c r="M22" s="299"/>
      <c r="N22" s="299"/>
    </row>
    <row r="23" spans="1:14">
      <c r="A23" s="297">
        <f>+A21+1</f>
        <v>4</v>
      </c>
      <c r="B23" s="297"/>
      <c r="C23" s="36" t="s">
        <v>761</v>
      </c>
      <c r="D23" s="301" t="s">
        <v>212</v>
      </c>
      <c r="E23" s="353"/>
      <c r="F23" s="304"/>
      <c r="G23" s="353"/>
      <c r="H23" s="303"/>
      <c r="I23" s="302">
        <f>IF(G23="",0,(E23+G23)/2)</f>
        <v>0</v>
      </c>
      <c r="J23"/>
      <c r="K23" s="314"/>
      <c r="L23" s="315"/>
      <c r="M23" s="299"/>
      <c r="N23" s="299"/>
    </row>
    <row r="24" spans="1:14">
      <c r="B24" s="297"/>
      <c r="C24" s="300"/>
      <c r="D24" s="316"/>
      <c r="E24" s="304"/>
      <c r="F24" s="304"/>
      <c r="H24" s="303"/>
      <c r="J24"/>
      <c r="K24" s="314"/>
      <c r="L24" s="315"/>
      <c r="M24" s="299"/>
      <c r="N24" s="299"/>
    </row>
    <row r="25" spans="1:14">
      <c r="A25" s="318"/>
      <c r="B25" s="318"/>
      <c r="C25" s="319"/>
      <c r="D25" s="320"/>
      <c r="E25" s="321"/>
      <c r="F25" s="321"/>
      <c r="G25" s="322"/>
      <c r="H25" s="323"/>
      <c r="I25" s="322"/>
      <c r="J25" s="324"/>
      <c r="K25" s="325"/>
      <c r="L25" s="326"/>
      <c r="M25" s="299"/>
      <c r="N25" s="299"/>
    </row>
    <row r="26" spans="1:14" ht="18">
      <c r="B26" s="1166" t="s">
        <v>762</v>
      </c>
      <c r="C26" s="1166"/>
      <c r="D26" s="1166"/>
      <c r="E26" s="1166"/>
      <c r="F26" s="1166"/>
      <c r="G26" s="1166"/>
      <c r="H26" s="1166"/>
      <c r="I26" s="1166"/>
      <c r="J26" s="1166"/>
      <c r="K26" s="1166"/>
      <c r="L26" s="315"/>
      <c r="M26" s="299"/>
      <c r="N26" s="299"/>
    </row>
    <row r="27" spans="1:14" ht="12.75" customHeight="1">
      <c r="B27" s="327"/>
      <c r="C27" s="300"/>
      <c r="D27" s="7"/>
      <c r="E27" s="328"/>
      <c r="G27" s="328" t="s">
        <v>378</v>
      </c>
      <c r="I27" s="4" t="s">
        <v>407</v>
      </c>
      <c r="J27" s="4" t="s">
        <v>407</v>
      </c>
      <c r="K27" s="4" t="s">
        <v>469</v>
      </c>
      <c r="L27" s="315"/>
      <c r="M27" s="299"/>
      <c r="N27" s="299"/>
    </row>
    <row r="28" spans="1:14" ht="12.75" customHeight="1">
      <c r="B28" s="327"/>
      <c r="C28" s="300"/>
      <c r="D28" s="329" t="s">
        <v>289</v>
      </c>
      <c r="E28" s="4" t="s">
        <v>319</v>
      </c>
      <c r="G28" s="4" t="s">
        <v>407</v>
      </c>
      <c r="I28" s="4" t="s">
        <v>309</v>
      </c>
      <c r="J28" s="4" t="s">
        <v>451</v>
      </c>
      <c r="K28" s="4" t="s">
        <v>470</v>
      </c>
      <c r="L28" s="315"/>
      <c r="M28" s="299"/>
      <c r="N28" s="299"/>
    </row>
    <row r="29" spans="1:14" ht="12.75" customHeight="1">
      <c r="A29" s="297">
        <f>+A23+1</f>
        <v>5</v>
      </c>
      <c r="B29" s="327"/>
      <c r="C29" s="300"/>
      <c r="D29" s="298" t="s">
        <v>379</v>
      </c>
      <c r="E29" s="298" t="s">
        <v>290</v>
      </c>
      <c r="G29" s="298" t="s">
        <v>310</v>
      </c>
      <c r="I29" s="298" t="s">
        <v>310</v>
      </c>
      <c r="J29" s="298" t="s">
        <v>310</v>
      </c>
      <c r="K29" s="298" t="s">
        <v>311</v>
      </c>
      <c r="L29" s="315"/>
      <c r="M29" s="299"/>
      <c r="N29" s="299"/>
    </row>
    <row r="30" spans="1:14">
      <c r="B30" s="297"/>
      <c r="C30" s="300"/>
      <c r="D30" s="316"/>
      <c r="E30" s="304"/>
      <c r="F30" s="304"/>
      <c r="H30" s="303"/>
      <c r="J30"/>
      <c r="K30" s="330"/>
      <c r="L30" s="315"/>
      <c r="M30" s="299"/>
      <c r="N30" s="299"/>
    </row>
    <row r="31" spans="1:14">
      <c r="A31" s="297">
        <f>+A29+1</f>
        <v>6</v>
      </c>
      <c r="B31" s="297"/>
      <c r="C31" s="296" t="str">
        <f>"Totals as of December 31, "&amp;TCOS!L4&amp;""</f>
        <v>Totals as of December 31, 2026</v>
      </c>
      <c r="D31" s="331">
        <f>ROUND(D57,0)</f>
        <v>26812</v>
      </c>
      <c r="E31" s="332">
        <f>ROUND(E57,0)</f>
        <v>0</v>
      </c>
      <c r="F31" s="333"/>
      <c r="G31" s="331">
        <f>ROUND(G57,0)</f>
        <v>0</v>
      </c>
      <c r="H31" s="303"/>
      <c r="I31" s="331">
        <f>ROUND(I57,0)</f>
        <v>26812</v>
      </c>
      <c r="J31" s="334">
        <f>+J57</f>
        <v>0</v>
      </c>
      <c r="K31" s="331">
        <f>ROUND(K57,0)</f>
        <v>26812</v>
      </c>
      <c r="L31" s="315"/>
      <c r="M31" s="299"/>
      <c r="N31" s="299"/>
    </row>
    <row r="32" spans="1:14">
      <c r="A32" s="297">
        <f>+A31+1</f>
        <v>7</v>
      </c>
      <c r="B32" s="297"/>
      <c r="C32" s="296" t="str">
        <f>"Totals as of December 31, "&amp;(TCOS!L4-1)&amp;""</f>
        <v>Totals as of December 31, 2025</v>
      </c>
      <c r="D32" s="335">
        <f>ROUND(D81,0)</f>
        <v>26812</v>
      </c>
      <c r="E32" s="336">
        <f>ROUND(E81,0)</f>
        <v>0</v>
      </c>
      <c r="F32" s="304"/>
      <c r="G32" s="335">
        <f>ROUND(G81,0)</f>
        <v>0</v>
      </c>
      <c r="H32" s="303"/>
      <c r="I32" s="335">
        <f>ROUND(I81,0)</f>
        <v>26812</v>
      </c>
      <c r="J32" s="335">
        <f>+J81</f>
        <v>0</v>
      </c>
      <c r="K32" s="335">
        <f>ROUND(K81,0)</f>
        <v>26812</v>
      </c>
      <c r="L32" s="315"/>
      <c r="M32" s="299"/>
      <c r="N32" s="299"/>
    </row>
    <row r="33" spans="1:14" ht="13.5" thickBot="1">
      <c r="A33" s="297">
        <f>+A32+1</f>
        <v>8</v>
      </c>
      <c r="B33" s="297"/>
      <c r="C33" s="308" t="s">
        <v>495</v>
      </c>
      <c r="D33" s="337">
        <f>IF(D32="",0,(D31+D32)/2)</f>
        <v>26812</v>
      </c>
      <c r="E33" s="337">
        <f>IF(E32="",0,(E31+E32)/2)</f>
        <v>0</v>
      </c>
      <c r="F33" s="338"/>
      <c r="G33" s="337">
        <f>IF(G32="",0,(G31+G32)/2)</f>
        <v>0</v>
      </c>
      <c r="H33" s="339"/>
      <c r="I33" s="337">
        <f>IF(I32="",0,(I31+I32)/2)</f>
        <v>26812</v>
      </c>
      <c r="J33" s="337">
        <f>IF(J32="",0,(J31+J32)/2)</f>
        <v>0</v>
      </c>
      <c r="K33" s="337">
        <f>IF(K32="",0,(K31+K32)/2)</f>
        <v>26812</v>
      </c>
      <c r="L33" s="315"/>
      <c r="M33" s="299"/>
      <c r="N33" s="299"/>
    </row>
    <row r="34" spans="1:14" ht="13.5" thickTop="1">
      <c r="B34" s="297"/>
      <c r="D34" s="316"/>
      <c r="E34" s="304"/>
      <c r="F34" s="304"/>
      <c r="H34" s="303"/>
      <c r="J34"/>
      <c r="K34" s="314"/>
      <c r="L34" s="315"/>
      <c r="M34" s="299"/>
      <c r="N34" s="299"/>
    </row>
    <row r="35" spans="1:14">
      <c r="A35" s="296"/>
      <c r="J35"/>
      <c r="K35" s="314"/>
      <c r="L35" s="315"/>
      <c r="M35" s="299"/>
      <c r="N35" s="299"/>
    </row>
    <row r="36" spans="1:14" ht="18">
      <c r="B36" s="1167" t="str">
        <f>"Prepayments Account 165 - Balance @ 12/31/"&amp;D38&amp;""</f>
        <v>Prepayments Account 165 - Balance @ 12/31/2026</v>
      </c>
      <c r="C36" s="1171"/>
      <c r="D36" s="1171"/>
      <c r="E36" s="1171"/>
      <c r="F36" s="1171"/>
      <c r="G36" s="1171"/>
      <c r="H36" s="1171"/>
      <c r="I36" s="1171"/>
      <c r="J36" s="1171"/>
      <c r="K36" s="314"/>
      <c r="L36" s="315"/>
      <c r="M36" s="299"/>
      <c r="N36" s="299"/>
    </row>
    <row r="37" spans="1:14">
      <c r="B37" s="75"/>
      <c r="C37" s="76"/>
      <c r="D37" s="7"/>
      <c r="E37" s="328"/>
      <c r="G37" s="328" t="s">
        <v>378</v>
      </c>
      <c r="I37" s="4" t="s">
        <v>407</v>
      </c>
      <c r="J37" s="4" t="s">
        <v>407</v>
      </c>
      <c r="K37" s="4" t="s">
        <v>469</v>
      </c>
      <c r="L37"/>
      <c r="M37" s="299"/>
      <c r="N37" s="299"/>
    </row>
    <row r="38" spans="1:14">
      <c r="B38" s="75"/>
      <c r="C38" s="340"/>
      <c r="D38" s="329" t="str">
        <f>""&amp;TCOS!L4</f>
        <v>2026</v>
      </c>
      <c r="E38" s="4" t="s">
        <v>319</v>
      </c>
      <c r="G38" s="4" t="s">
        <v>407</v>
      </c>
      <c r="I38" s="4" t="s">
        <v>309</v>
      </c>
      <c r="J38" s="4" t="s">
        <v>451</v>
      </c>
      <c r="K38" s="4" t="s">
        <v>470</v>
      </c>
      <c r="L38"/>
      <c r="M38" s="299"/>
      <c r="N38" s="299"/>
    </row>
    <row r="39" spans="1:14">
      <c r="A39" s="297">
        <f>+A33+1</f>
        <v>9</v>
      </c>
      <c r="B39" s="298" t="s">
        <v>381</v>
      </c>
      <c r="C39" s="298" t="s">
        <v>457</v>
      </c>
      <c r="D39" s="298" t="s">
        <v>379</v>
      </c>
      <c r="E39" s="298" t="s">
        <v>290</v>
      </c>
      <c r="G39" s="298" t="s">
        <v>310</v>
      </c>
      <c r="I39" s="298" t="s">
        <v>310</v>
      </c>
      <c r="J39" s="298" t="s">
        <v>310</v>
      </c>
      <c r="K39" s="298" t="s">
        <v>311</v>
      </c>
      <c r="L39" s="298" t="s">
        <v>363</v>
      </c>
      <c r="M39" s="299"/>
      <c r="N39" s="299"/>
    </row>
    <row r="40" spans="1:14">
      <c r="B40" s="75"/>
      <c r="C40" s="76"/>
      <c r="D40" s="76"/>
      <c r="E40" s="76"/>
      <c r="G40" s="76"/>
      <c r="I40" s="76"/>
      <c r="J40" s="76"/>
      <c r="K40" s="330"/>
      <c r="L40"/>
      <c r="M40" s="299"/>
      <c r="N40" s="299"/>
    </row>
    <row r="41" spans="1:14" ht="14.25">
      <c r="A41" s="297">
        <f>+A39+1</f>
        <v>10</v>
      </c>
      <c r="B41" s="969" t="s">
        <v>908</v>
      </c>
      <c r="C41" s="970" t="s">
        <v>909</v>
      </c>
      <c r="D41" s="971">
        <v>15286.665838135083</v>
      </c>
      <c r="E41" s="341">
        <f t="shared" ref="E41:E55" si="0">+D41-K41</f>
        <v>0</v>
      </c>
      <c r="G41" s="342"/>
      <c r="I41" s="342">
        <f>+D41</f>
        <v>15286.665838135083</v>
      </c>
      <c r="J41" s="342"/>
      <c r="K41" s="342">
        <f>+G41+I41+J41</f>
        <v>15286.665838135083</v>
      </c>
      <c r="L41"/>
      <c r="M41" s="299"/>
      <c r="N41" s="299"/>
    </row>
    <row r="42" spans="1:14" ht="14.25">
      <c r="A42" s="297">
        <f>+A41+1</f>
        <v>11</v>
      </c>
      <c r="B42" s="972" t="s">
        <v>911</v>
      </c>
      <c r="C42" s="970" t="s">
        <v>910</v>
      </c>
      <c r="D42" s="971">
        <v>11525.76416186492</v>
      </c>
      <c r="E42" s="341">
        <f t="shared" si="0"/>
        <v>0</v>
      </c>
      <c r="G42" s="342"/>
      <c r="I42" s="342">
        <f>+D42</f>
        <v>11525.76416186492</v>
      </c>
      <c r="J42" s="342"/>
      <c r="K42" s="342">
        <f t="shared" ref="K42:K56" si="1">+G42+I42+J42</f>
        <v>11525.76416186492</v>
      </c>
      <c r="L42"/>
      <c r="M42" s="299"/>
      <c r="N42" s="299"/>
    </row>
    <row r="43" spans="1:14" ht="14.25">
      <c r="A43" s="297">
        <f t="shared" ref="A43:A56" si="2">+A42+1</f>
        <v>12</v>
      </c>
      <c r="B43" s="973"/>
      <c r="C43" s="970"/>
      <c r="D43" s="971"/>
      <c r="E43" s="341">
        <f t="shared" si="0"/>
        <v>0</v>
      </c>
      <c r="G43" s="342"/>
      <c r="I43" s="342">
        <f>+D43</f>
        <v>0</v>
      </c>
      <c r="J43" s="342"/>
      <c r="K43" s="342">
        <f t="shared" si="1"/>
        <v>0</v>
      </c>
      <c r="L43"/>
      <c r="M43" s="299"/>
      <c r="N43" s="299"/>
    </row>
    <row r="44" spans="1:14" ht="14.25">
      <c r="A44" s="297">
        <f t="shared" si="2"/>
        <v>13</v>
      </c>
      <c r="B44" s="974"/>
      <c r="C44" s="970"/>
      <c r="D44" s="971"/>
      <c r="E44" s="341">
        <f t="shared" si="0"/>
        <v>0</v>
      </c>
      <c r="G44" s="342"/>
      <c r="I44" s="342">
        <f t="shared" ref="I44:I51" si="3">+D44</f>
        <v>0</v>
      </c>
      <c r="J44" s="342"/>
      <c r="K44" s="342">
        <f t="shared" si="1"/>
        <v>0</v>
      </c>
      <c r="L44"/>
      <c r="M44" s="299"/>
      <c r="N44" s="299"/>
    </row>
    <row r="45" spans="1:14" ht="14.25">
      <c r="A45" s="297">
        <f t="shared" si="2"/>
        <v>14</v>
      </c>
      <c r="B45" s="973"/>
      <c r="C45" s="970"/>
      <c r="D45" s="971"/>
      <c r="E45" s="341">
        <f t="shared" si="0"/>
        <v>0</v>
      </c>
      <c r="G45" s="342"/>
      <c r="I45" s="342">
        <f t="shared" si="3"/>
        <v>0</v>
      </c>
      <c r="J45" s="342"/>
      <c r="K45" s="342">
        <f t="shared" si="1"/>
        <v>0</v>
      </c>
      <c r="L45"/>
      <c r="M45" s="299"/>
      <c r="N45" s="299"/>
    </row>
    <row r="46" spans="1:14" ht="14.25">
      <c r="A46" s="297">
        <f t="shared" si="2"/>
        <v>15</v>
      </c>
      <c r="B46" s="973"/>
      <c r="C46" s="970"/>
      <c r="D46" s="971"/>
      <c r="E46" s="341">
        <f t="shared" si="0"/>
        <v>0</v>
      </c>
      <c r="G46" s="342"/>
      <c r="I46" s="342">
        <f t="shared" si="3"/>
        <v>0</v>
      </c>
      <c r="J46" s="342"/>
      <c r="K46" s="342">
        <f t="shared" si="1"/>
        <v>0</v>
      </c>
      <c r="L46"/>
      <c r="M46" s="299"/>
      <c r="N46" s="299"/>
    </row>
    <row r="47" spans="1:14" ht="14.25">
      <c r="A47" s="297">
        <f t="shared" si="2"/>
        <v>16</v>
      </c>
      <c r="B47" s="706"/>
      <c r="C47" s="708"/>
      <c r="D47" s="731"/>
      <c r="E47" s="341">
        <f t="shared" si="0"/>
        <v>0</v>
      </c>
      <c r="G47" s="343"/>
      <c r="I47" s="342">
        <f t="shared" si="3"/>
        <v>0</v>
      </c>
      <c r="J47" s="343"/>
      <c r="K47" s="343">
        <f t="shared" si="1"/>
        <v>0</v>
      </c>
      <c r="L47"/>
      <c r="M47" s="299"/>
      <c r="N47" s="299"/>
    </row>
    <row r="48" spans="1:14" ht="14.25">
      <c r="A48" s="297">
        <f t="shared" si="2"/>
        <v>17</v>
      </c>
      <c r="B48" s="706"/>
      <c r="C48" s="708"/>
      <c r="D48" s="731"/>
      <c r="E48" s="341">
        <f t="shared" si="0"/>
        <v>0</v>
      </c>
      <c r="G48" s="342"/>
      <c r="I48" s="342">
        <f t="shared" si="3"/>
        <v>0</v>
      </c>
      <c r="J48" s="342"/>
      <c r="K48" s="343">
        <f t="shared" si="1"/>
        <v>0</v>
      </c>
      <c r="L48" s="3"/>
      <c r="M48" s="299"/>
      <c r="N48" s="299"/>
    </row>
    <row r="49" spans="1:15" ht="14.25">
      <c r="A49" s="297">
        <f t="shared" si="2"/>
        <v>18</v>
      </c>
      <c r="B49" s="706"/>
      <c r="C49" s="708"/>
      <c r="D49" s="731"/>
      <c r="E49" s="341">
        <f t="shared" si="0"/>
        <v>0</v>
      </c>
      <c r="G49" s="342"/>
      <c r="I49" s="342">
        <f t="shared" si="3"/>
        <v>0</v>
      </c>
      <c r="J49" s="342"/>
      <c r="K49" s="343">
        <f t="shared" si="1"/>
        <v>0</v>
      </c>
      <c r="L49"/>
      <c r="M49" s="299"/>
      <c r="N49" s="299"/>
    </row>
    <row r="50" spans="1:15" ht="14.25">
      <c r="A50" s="297">
        <f t="shared" si="2"/>
        <v>19</v>
      </c>
      <c r="B50" s="706"/>
      <c r="C50" s="708"/>
      <c r="D50" s="731"/>
      <c r="E50" s="341">
        <f t="shared" si="0"/>
        <v>0</v>
      </c>
      <c r="G50" s="342"/>
      <c r="I50" s="342">
        <f t="shared" si="3"/>
        <v>0</v>
      </c>
      <c r="J50" s="342"/>
      <c r="K50" s="343">
        <f t="shared" si="1"/>
        <v>0</v>
      </c>
      <c r="L50"/>
      <c r="M50" s="299"/>
      <c r="N50" s="299"/>
    </row>
    <row r="51" spans="1:15" ht="14.25">
      <c r="A51" s="297">
        <f t="shared" si="2"/>
        <v>20</v>
      </c>
      <c r="B51" s="707"/>
      <c r="C51" s="708"/>
      <c r="D51" s="731"/>
      <c r="E51" s="341">
        <f t="shared" si="0"/>
        <v>0</v>
      </c>
      <c r="G51" s="342"/>
      <c r="I51" s="342">
        <f t="shared" si="3"/>
        <v>0</v>
      </c>
      <c r="J51" s="344"/>
      <c r="K51" s="343">
        <f>+G51+I51+J51</f>
        <v>0</v>
      </c>
      <c r="L51"/>
      <c r="M51" s="299"/>
      <c r="N51" s="299"/>
    </row>
    <row r="52" spans="1:15" ht="14.25">
      <c r="A52" s="297">
        <f t="shared" si="2"/>
        <v>21</v>
      </c>
      <c r="B52" s="707"/>
      <c r="C52" s="708"/>
      <c r="D52" s="731"/>
      <c r="E52" s="341">
        <f t="shared" si="0"/>
        <v>0</v>
      </c>
      <c r="G52" s="342"/>
      <c r="I52" s="342">
        <f>D52</f>
        <v>0</v>
      </c>
      <c r="J52" s="344">
        <v>0</v>
      </c>
      <c r="K52" s="343">
        <f>+G52+I52+J52</f>
        <v>0</v>
      </c>
      <c r="L52"/>
      <c r="M52" s="299"/>
      <c r="N52" s="299"/>
    </row>
    <row r="53" spans="1:15" ht="14.25">
      <c r="A53" s="297">
        <f t="shared" si="2"/>
        <v>22</v>
      </c>
      <c r="B53" s="707"/>
      <c r="C53" s="708"/>
      <c r="D53" s="731"/>
      <c r="E53" s="341">
        <f t="shared" si="0"/>
        <v>0</v>
      </c>
      <c r="G53" s="342"/>
      <c r="I53" s="342"/>
      <c r="J53" s="344">
        <f>D53</f>
        <v>0</v>
      </c>
      <c r="K53" s="343">
        <f>+G53+I53+J53</f>
        <v>0</v>
      </c>
      <c r="L53"/>
      <c r="M53" s="299"/>
      <c r="N53" s="299"/>
    </row>
    <row r="54" spans="1:15" ht="14.25">
      <c r="A54" s="297">
        <f t="shared" si="2"/>
        <v>23</v>
      </c>
      <c r="B54" s="707"/>
      <c r="C54" s="708"/>
      <c r="D54" s="731"/>
      <c r="E54" s="341">
        <f t="shared" si="0"/>
        <v>0</v>
      </c>
      <c r="G54" s="342"/>
      <c r="I54" s="342"/>
      <c r="J54" s="344">
        <f>D54</f>
        <v>0</v>
      </c>
      <c r="K54" s="343">
        <f>+G54+I54+J54</f>
        <v>0</v>
      </c>
      <c r="L54"/>
      <c r="M54" s="299"/>
      <c r="N54" s="299"/>
    </row>
    <row r="55" spans="1:15" ht="14.25">
      <c r="A55" s="297">
        <f t="shared" si="2"/>
        <v>24</v>
      </c>
      <c r="B55" s="707"/>
      <c r="C55" s="708"/>
      <c r="D55" s="731"/>
      <c r="E55" s="341">
        <f t="shared" si="0"/>
        <v>0</v>
      </c>
      <c r="G55" s="342"/>
      <c r="I55" s="342"/>
      <c r="J55" s="344">
        <f>D55</f>
        <v>0</v>
      </c>
      <c r="K55" s="343">
        <f t="shared" si="1"/>
        <v>0</v>
      </c>
      <c r="L55"/>
      <c r="M55" s="299"/>
      <c r="N55" s="299"/>
    </row>
    <row r="56" spans="1:15" ht="15" thickBot="1">
      <c r="A56" s="297">
        <f t="shared" si="2"/>
        <v>25</v>
      </c>
      <c r="B56" s="707"/>
      <c r="C56" s="708"/>
      <c r="D56" s="731"/>
      <c r="E56" s="341"/>
      <c r="G56" s="342"/>
      <c r="I56" s="342"/>
      <c r="J56" s="342">
        <f>D56</f>
        <v>0</v>
      </c>
      <c r="K56" s="343">
        <f t="shared" si="1"/>
        <v>0</v>
      </c>
      <c r="L56"/>
      <c r="M56" s="299"/>
      <c r="N56" s="299"/>
    </row>
    <row r="57" spans="1:15">
      <c r="B57" s="75"/>
      <c r="C57" s="345" t="s">
        <v>291</v>
      </c>
      <c r="D57" s="346">
        <f>SUM(D41:D56)</f>
        <v>26812.43</v>
      </c>
      <c r="E57" s="347">
        <f>SUM(E41:E56)</f>
        <v>0</v>
      </c>
      <c r="G57" s="346">
        <f>SUM(G41:G56)</f>
        <v>0</v>
      </c>
      <c r="I57" s="346">
        <f>SUM(I41:I56)</f>
        <v>26812.43</v>
      </c>
      <c r="J57" s="346">
        <f>SUM(J41:J56)</f>
        <v>0</v>
      </c>
      <c r="K57" s="346">
        <f>SUM(K41:K56)</f>
        <v>26812.43</v>
      </c>
      <c r="L57"/>
      <c r="M57" s="299"/>
      <c r="N57" s="299"/>
    </row>
    <row r="58" spans="1:15">
      <c r="D58" s="348" t="s">
        <v>406</v>
      </c>
      <c r="K58" s="36"/>
      <c r="L58"/>
      <c r="M58" s="299"/>
      <c r="N58" s="299"/>
    </row>
    <row r="59" spans="1:15">
      <c r="B59"/>
      <c r="C59"/>
      <c r="D59"/>
      <c r="E59"/>
      <c r="F59"/>
      <c r="G59"/>
      <c r="H59"/>
      <c r="I59"/>
      <c r="J59"/>
      <c r="K59"/>
      <c r="L59"/>
      <c r="M59" s="299"/>
      <c r="N59" s="299"/>
      <c r="O59"/>
    </row>
    <row r="60" spans="1:15" ht="18">
      <c r="B60" s="1167" t="str">
        <f>"Prepayments Account 165 - Balance @ 12/31/ "&amp;D62&amp;""</f>
        <v>Prepayments Account 165 - Balance @ 12/31/ 2025</v>
      </c>
      <c r="C60" s="1167"/>
      <c r="D60" s="1167"/>
      <c r="E60" s="1167"/>
      <c r="F60" s="1167"/>
      <c r="G60" s="1167"/>
      <c r="H60" s="1167"/>
      <c r="I60" s="1167"/>
      <c r="J60" s="1167"/>
      <c r="K60" s="314"/>
      <c r="L60" s="315"/>
      <c r="M60" s="299"/>
      <c r="N60" s="299"/>
      <c r="O60"/>
    </row>
    <row r="61" spans="1:15">
      <c r="B61" s="349"/>
      <c r="C61" s="109"/>
      <c r="D61" s="350"/>
      <c r="E61" s="328"/>
      <c r="G61" s="328" t="s">
        <v>378</v>
      </c>
      <c r="I61" s="4" t="s">
        <v>407</v>
      </c>
      <c r="J61" s="4" t="s">
        <v>407</v>
      </c>
      <c r="K61" s="4" t="s">
        <v>469</v>
      </c>
      <c r="L61"/>
      <c r="M61" s="299"/>
      <c r="N61" s="299"/>
      <c r="O61"/>
    </row>
    <row r="62" spans="1:15">
      <c r="B62" s="349"/>
      <c r="C62" s="351"/>
      <c r="D62" s="4" t="str">
        <f>""&amp;TCOS!L4-1&amp;""</f>
        <v>2025</v>
      </c>
      <c r="E62" s="4" t="s">
        <v>319</v>
      </c>
      <c r="G62" s="4" t="s">
        <v>407</v>
      </c>
      <c r="I62" s="4" t="s">
        <v>309</v>
      </c>
      <c r="J62" s="4" t="s">
        <v>451</v>
      </c>
      <c r="K62" s="4" t="s">
        <v>470</v>
      </c>
      <c r="L62"/>
      <c r="M62" s="299"/>
      <c r="N62" s="299"/>
      <c r="O62"/>
    </row>
    <row r="63" spans="1:15">
      <c r="A63" s="297">
        <f>A56+1</f>
        <v>26</v>
      </c>
      <c r="B63" s="298" t="s">
        <v>381</v>
      </c>
      <c r="C63" s="298" t="s">
        <v>457</v>
      </c>
      <c r="D63" s="298" t="s">
        <v>379</v>
      </c>
      <c r="E63" s="298" t="s">
        <v>290</v>
      </c>
      <c r="G63" s="298" t="s">
        <v>310</v>
      </c>
      <c r="I63" s="298" t="s">
        <v>310</v>
      </c>
      <c r="J63" s="298" t="s">
        <v>310</v>
      </c>
      <c r="K63" s="298" t="s">
        <v>311</v>
      </c>
      <c r="L63" s="298" t="s">
        <v>363</v>
      </c>
      <c r="M63" s="299"/>
      <c r="N63" s="299"/>
      <c r="O63"/>
    </row>
    <row r="64" spans="1:15">
      <c r="B64" s="75"/>
      <c r="C64" s="76"/>
      <c r="D64" s="76"/>
      <c r="E64" s="76"/>
      <c r="G64" s="76"/>
      <c r="I64" s="76"/>
      <c r="J64" s="76"/>
      <c r="K64" s="76"/>
      <c r="L64"/>
      <c r="M64" s="299"/>
      <c r="N64" s="299"/>
      <c r="O64"/>
    </row>
    <row r="65" spans="1:15" ht="14.25">
      <c r="A65" s="297">
        <f>+A63+1</f>
        <v>27</v>
      </c>
      <c r="B65" s="969" t="s">
        <v>908</v>
      </c>
      <c r="C65" s="970" t="s">
        <v>909</v>
      </c>
      <c r="D65" s="971">
        <v>15286.665838135083</v>
      </c>
      <c r="E65"/>
      <c r="F65"/>
      <c r="G65"/>
      <c r="H65"/>
      <c r="I65" s="352">
        <f>+D65</f>
        <v>15286.665838135083</v>
      </c>
      <c r="J65"/>
      <c r="K65" s="342">
        <f t="shared" ref="K65:K80" si="4">+G65+I65+J65</f>
        <v>15286.665838135083</v>
      </c>
      <c r="L65"/>
      <c r="M65" s="299"/>
      <c r="N65" s="299"/>
      <c r="O65"/>
    </row>
    <row r="66" spans="1:15" ht="14.25">
      <c r="A66" s="297">
        <f>+A65+1</f>
        <v>28</v>
      </c>
      <c r="B66" s="972" t="s">
        <v>911</v>
      </c>
      <c r="C66" s="970" t="s">
        <v>910</v>
      </c>
      <c r="D66" s="971">
        <v>11525.76416186492</v>
      </c>
      <c r="E66" s="341">
        <f>+D66-K66</f>
        <v>0</v>
      </c>
      <c r="G66" s="342"/>
      <c r="I66" s="342">
        <f>+D66</f>
        <v>11525.76416186492</v>
      </c>
      <c r="J66" s="342"/>
      <c r="K66" s="342">
        <f t="shared" si="4"/>
        <v>11525.76416186492</v>
      </c>
      <c r="L66"/>
      <c r="M66" s="299"/>
      <c r="N66" s="299"/>
      <c r="O66"/>
    </row>
    <row r="67" spans="1:15" ht="14.25">
      <c r="A67" s="297">
        <f t="shared" ref="A67:A80" si="5">+A66+1</f>
        <v>29</v>
      </c>
      <c r="B67" s="973"/>
      <c r="C67" s="970"/>
      <c r="D67" s="971"/>
      <c r="E67" s="341">
        <f>+D67-K67</f>
        <v>0</v>
      </c>
      <c r="G67" s="342"/>
      <c r="I67" s="342">
        <f>+D67</f>
        <v>0</v>
      </c>
      <c r="J67" s="342"/>
      <c r="K67" s="342">
        <f t="shared" si="4"/>
        <v>0</v>
      </c>
      <c r="L67"/>
      <c r="M67" s="299"/>
      <c r="N67" s="299"/>
      <c r="O67"/>
    </row>
    <row r="68" spans="1:15" ht="14.25">
      <c r="A68" s="297">
        <f t="shared" si="5"/>
        <v>30</v>
      </c>
      <c r="B68" s="974"/>
      <c r="C68" s="970"/>
      <c r="D68" s="971"/>
      <c r="E68" s="341">
        <f>+D68-K68</f>
        <v>0</v>
      </c>
      <c r="G68" s="342"/>
      <c r="I68" s="342"/>
      <c r="J68" s="342"/>
      <c r="K68" s="342">
        <f t="shared" si="4"/>
        <v>0</v>
      </c>
      <c r="L68"/>
      <c r="M68" s="299"/>
      <c r="N68" s="299"/>
      <c r="O68"/>
    </row>
    <row r="69" spans="1:15" ht="14.25">
      <c r="A69" s="297">
        <f t="shared" si="5"/>
        <v>31</v>
      </c>
      <c r="B69" s="973"/>
      <c r="C69" s="970"/>
      <c r="D69" s="971"/>
      <c r="E69" s="341">
        <f>+D69-K69</f>
        <v>0</v>
      </c>
      <c r="G69" s="342"/>
      <c r="I69" s="342"/>
      <c r="J69" s="342"/>
      <c r="K69" s="342">
        <f t="shared" si="4"/>
        <v>0</v>
      </c>
      <c r="L69"/>
      <c r="M69" s="299"/>
      <c r="N69" s="299"/>
      <c r="O69"/>
    </row>
    <row r="70" spans="1:15" ht="14.25">
      <c r="A70" s="297">
        <f t="shared" si="5"/>
        <v>32</v>
      </c>
      <c r="B70" s="973"/>
      <c r="C70" s="970"/>
      <c r="D70" s="971"/>
      <c r="E70" s="342">
        <f>+D70-K70</f>
        <v>0</v>
      </c>
      <c r="G70" s="342"/>
      <c r="I70" s="342"/>
      <c r="J70" s="342"/>
      <c r="K70" s="342">
        <f t="shared" si="4"/>
        <v>0</v>
      </c>
      <c r="L70"/>
      <c r="M70" s="299"/>
      <c r="N70" s="299"/>
      <c r="O70"/>
    </row>
    <row r="71" spans="1:15" ht="14.25">
      <c r="A71" s="297">
        <f t="shared" si="5"/>
        <v>33</v>
      </c>
      <c r="B71" s="707"/>
      <c r="C71" s="708"/>
      <c r="D71" s="731"/>
      <c r="E71" s="343">
        <f>+D71</f>
        <v>0</v>
      </c>
      <c r="G71" s="343"/>
      <c r="I71" s="343"/>
      <c r="J71" s="343"/>
      <c r="K71" s="343">
        <f t="shared" si="4"/>
        <v>0</v>
      </c>
      <c r="L71"/>
      <c r="M71" s="299"/>
      <c r="N71" s="299"/>
      <c r="O71"/>
    </row>
    <row r="72" spans="1:15" ht="14.25">
      <c r="A72" s="297">
        <f t="shared" si="5"/>
        <v>34</v>
      </c>
      <c r="B72" s="707"/>
      <c r="C72" s="708"/>
      <c r="D72" s="731"/>
      <c r="E72" s="342">
        <f>+D72-K72</f>
        <v>0</v>
      </c>
      <c r="G72" s="342"/>
      <c r="I72" s="342"/>
      <c r="J72" s="342"/>
      <c r="K72" s="343">
        <f t="shared" si="4"/>
        <v>0</v>
      </c>
      <c r="L72" s="3"/>
      <c r="M72" s="299"/>
      <c r="N72" s="299"/>
      <c r="O72"/>
    </row>
    <row r="73" spans="1:15" ht="14.25">
      <c r="A73" s="297">
        <f t="shared" si="5"/>
        <v>35</v>
      </c>
      <c r="B73" s="707"/>
      <c r="C73" s="708"/>
      <c r="D73" s="731"/>
      <c r="E73" s="342"/>
      <c r="G73" s="342"/>
      <c r="I73" s="342"/>
      <c r="J73" s="342"/>
      <c r="K73" s="343">
        <f t="shared" si="4"/>
        <v>0</v>
      </c>
      <c r="L73"/>
      <c r="M73" s="299"/>
      <c r="N73" s="299"/>
      <c r="O73"/>
    </row>
    <row r="74" spans="1:15" ht="14.25">
      <c r="A74" s="297">
        <f>+A71+1</f>
        <v>34</v>
      </c>
      <c r="B74" s="707"/>
      <c r="C74" s="708"/>
      <c r="D74" s="731"/>
      <c r="E74" s="342">
        <f>+D74</f>
        <v>0</v>
      </c>
      <c r="G74" s="342"/>
      <c r="I74" s="342"/>
      <c r="J74" s="342"/>
      <c r="K74" s="343">
        <f>+G74+I74+J74</f>
        <v>0</v>
      </c>
      <c r="L74"/>
      <c r="M74" s="299"/>
      <c r="N74" s="299"/>
      <c r="O74"/>
    </row>
    <row r="75" spans="1:15" ht="14.25">
      <c r="A75" s="297">
        <f t="shared" si="5"/>
        <v>35</v>
      </c>
      <c r="B75" s="707"/>
      <c r="C75" s="708"/>
      <c r="D75" s="731"/>
      <c r="E75" s="342">
        <v>0</v>
      </c>
      <c r="G75" s="342"/>
      <c r="I75" s="342">
        <f>D75</f>
        <v>0</v>
      </c>
      <c r="J75" s="344"/>
      <c r="K75" s="343">
        <f>+G75+I75+J75</f>
        <v>0</v>
      </c>
      <c r="L75"/>
      <c r="M75" s="299"/>
      <c r="N75" s="299"/>
      <c r="O75"/>
    </row>
    <row r="76" spans="1:15" ht="14.25">
      <c r="A76" s="297">
        <f t="shared" si="5"/>
        <v>36</v>
      </c>
      <c r="B76" s="707"/>
      <c r="C76" s="708"/>
      <c r="D76" s="731"/>
      <c r="E76" s="341">
        <v>0</v>
      </c>
      <c r="G76" s="342"/>
      <c r="I76" s="342">
        <f>D76</f>
        <v>0</v>
      </c>
      <c r="J76" s="344">
        <v>0</v>
      </c>
      <c r="K76" s="343">
        <f>+G76+I76+J76</f>
        <v>0</v>
      </c>
      <c r="L76"/>
      <c r="M76" s="299"/>
      <c r="N76" s="299"/>
      <c r="O76"/>
    </row>
    <row r="77" spans="1:15" ht="14.25">
      <c r="A77" s="297">
        <f t="shared" si="5"/>
        <v>37</v>
      </c>
      <c r="B77" s="707"/>
      <c r="C77" s="708"/>
      <c r="D77" s="731"/>
      <c r="E77" s="341">
        <f>+D77-K77</f>
        <v>0</v>
      </c>
      <c r="G77" s="342"/>
      <c r="I77" s="342"/>
      <c r="J77" s="344">
        <f>D77</f>
        <v>0</v>
      </c>
      <c r="K77" s="343">
        <f>+G77+I77+J77</f>
        <v>0</v>
      </c>
      <c r="L77"/>
      <c r="M77" s="299"/>
      <c r="N77" s="299"/>
      <c r="O77"/>
    </row>
    <row r="78" spans="1:15" ht="14.25">
      <c r="A78" s="297">
        <f t="shared" si="5"/>
        <v>38</v>
      </c>
      <c r="B78" s="707"/>
      <c r="C78" s="708"/>
      <c r="D78" s="731"/>
      <c r="E78" s="341">
        <f>+D78-K78</f>
        <v>0</v>
      </c>
      <c r="G78" s="342"/>
      <c r="I78" s="342"/>
      <c r="J78" s="344">
        <f>D78</f>
        <v>0</v>
      </c>
      <c r="K78" s="343">
        <f t="shared" si="4"/>
        <v>0</v>
      </c>
      <c r="L78"/>
      <c r="M78" s="299"/>
      <c r="N78" s="299"/>
      <c r="O78"/>
    </row>
    <row r="79" spans="1:15" ht="14.25">
      <c r="A79" s="297">
        <f t="shared" si="5"/>
        <v>39</v>
      </c>
      <c r="B79" s="707"/>
      <c r="C79" s="708"/>
      <c r="D79" s="731"/>
      <c r="E79" s="341">
        <f>+D79-K79</f>
        <v>0</v>
      </c>
      <c r="G79" s="342"/>
      <c r="I79" s="342"/>
      <c r="J79" s="344">
        <f>D79</f>
        <v>0</v>
      </c>
      <c r="K79" s="343">
        <f t="shared" si="4"/>
        <v>0</v>
      </c>
      <c r="L79"/>
      <c r="M79" s="299"/>
      <c r="N79" s="299"/>
      <c r="O79"/>
    </row>
    <row r="80" spans="1:15" ht="15" thickBot="1">
      <c r="A80" s="297">
        <f t="shared" si="5"/>
        <v>40</v>
      </c>
      <c r="B80" s="707"/>
      <c r="C80" s="708"/>
      <c r="D80" s="731"/>
      <c r="E80" s="341"/>
      <c r="G80" s="342"/>
      <c r="I80" s="342"/>
      <c r="J80" s="342">
        <f>D80</f>
        <v>0</v>
      </c>
      <c r="K80" s="343">
        <f t="shared" si="4"/>
        <v>0</v>
      </c>
      <c r="L80"/>
      <c r="M80" s="299"/>
      <c r="N80" s="299"/>
      <c r="O80"/>
    </row>
    <row r="81" spans="1:15">
      <c r="B81" s="75"/>
      <c r="C81" s="345" t="s">
        <v>622</v>
      </c>
      <c r="D81" s="346">
        <f>SUM(D65:D80)</f>
        <v>26812.43</v>
      </c>
      <c r="E81" s="347">
        <f>SUM(E65:E80)</f>
        <v>0</v>
      </c>
      <c r="G81" s="346">
        <f>SUM(G65:G80)</f>
        <v>0</v>
      </c>
      <c r="I81" s="346">
        <f>SUM(I65:I80)</f>
        <v>26812.43</v>
      </c>
      <c r="J81" s="346">
        <f>SUM(J65:J80)</f>
        <v>0</v>
      </c>
      <c r="K81" s="346">
        <f>SUM(K65:K80)</f>
        <v>26812.43</v>
      </c>
      <c r="L81"/>
      <c r="M81" s="299"/>
      <c r="N81" s="299"/>
      <c r="O81"/>
    </row>
    <row r="82" spans="1:15">
      <c r="B82" s="297"/>
      <c r="C82"/>
      <c r="D82"/>
      <c r="E82"/>
      <c r="F82"/>
      <c r="G82"/>
      <c r="H82"/>
      <c r="I82"/>
      <c r="J82"/>
      <c r="K82"/>
      <c r="L82"/>
      <c r="M82" s="299"/>
      <c r="N82" s="299"/>
      <c r="O82"/>
    </row>
    <row r="83" spans="1:15" ht="20.25" customHeight="1">
      <c r="A83" s="297" t="s">
        <v>691</v>
      </c>
      <c r="B83" s="1165" t="s">
        <v>771</v>
      </c>
      <c r="C83" s="1165"/>
      <c r="D83" s="1165"/>
      <c r="E83" s="1165"/>
      <c r="F83" s="1165"/>
      <c r="G83" s="1165"/>
      <c r="H83" s="1165"/>
      <c r="I83" s="1165"/>
      <c r="J83" s="1165"/>
      <c r="K83" s="1165"/>
      <c r="L83" s="1165"/>
      <c r="M83" s="299"/>
      <c r="N83" s="299"/>
      <c r="O83"/>
    </row>
    <row r="84" spans="1:15" ht="20.25" customHeight="1">
      <c r="A84" s="750"/>
      <c r="B84" s="1165"/>
      <c r="C84" s="1165"/>
      <c r="D84" s="1165"/>
      <c r="E84" s="1165"/>
      <c r="F84" s="1165"/>
      <c r="G84" s="1165"/>
      <c r="H84" s="1165"/>
      <c r="I84" s="1165"/>
      <c r="J84" s="1165"/>
      <c r="K84" s="1165"/>
      <c r="L84" s="1165"/>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83:L84"/>
    <mergeCell ref="B10:K10"/>
    <mergeCell ref="A3:L3"/>
    <mergeCell ref="A4:L4"/>
    <mergeCell ref="A5:L5"/>
    <mergeCell ref="A6:L6"/>
    <mergeCell ref="B60:J60"/>
    <mergeCell ref="B26:K26"/>
    <mergeCell ref="E12:E13"/>
    <mergeCell ref="I12:I13"/>
    <mergeCell ref="B36:J36"/>
    <mergeCell ref="G12:G13"/>
  </mergeCells>
  <phoneticPr fontId="3"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8"/>
  <sheetViews>
    <sheetView tabSelected="1" workbookViewId="0">
      <selection activeCell="L25" sqref="L25"/>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39" t="s">
        <v>406</v>
      </c>
    </row>
    <row r="2" spans="1:15" ht="15.75">
      <c r="A2" s="739" t="s">
        <v>406</v>
      </c>
    </row>
    <row r="3" spans="1:15" ht="15">
      <c r="A3" s="1140" t="str">
        <f>TCOS!$F$5</f>
        <v>AEPTCo subsidiaries in PJM</v>
      </c>
      <c r="B3" s="1140" t="str">
        <f>TCOS!$F$5</f>
        <v>AEPTCo subsidiaries in PJM</v>
      </c>
      <c r="C3" s="1140" t="str">
        <f>TCOS!$F$5</f>
        <v>AEPTCo subsidiaries in PJM</v>
      </c>
      <c r="D3" s="1140" t="str">
        <f>TCOS!$F$5</f>
        <v>AEPTCo subsidiaries in PJM</v>
      </c>
      <c r="E3" s="1140" t="str">
        <f>TCOS!$F$5</f>
        <v>AEPTCo subsidiaries in PJM</v>
      </c>
      <c r="F3" s="17"/>
      <c r="G3" s="17"/>
      <c r="H3" s="17"/>
      <c r="I3" s="17"/>
      <c r="J3" s="17"/>
      <c r="K3" s="17"/>
      <c r="L3" s="17"/>
      <c r="M3" s="17"/>
      <c r="N3" s="17"/>
      <c r="O3" s="17"/>
    </row>
    <row r="4" spans="1:15" ht="15">
      <c r="A4" s="1141" t="str">
        <f>"Cost of Service Formula Rate Using Actual/Projected FF1 Balances"</f>
        <v>Cost of Service Formula Rate Using Actual/Projected FF1 Balances</v>
      </c>
      <c r="B4" s="1141"/>
      <c r="C4" s="1141"/>
      <c r="D4" s="1141"/>
      <c r="E4" s="1141"/>
      <c r="F4" s="44"/>
      <c r="G4" s="44"/>
      <c r="H4" s="44"/>
      <c r="I4" s="44"/>
      <c r="J4" s="44"/>
      <c r="K4" s="44"/>
      <c r="L4" s="44"/>
      <c r="M4" s="45"/>
      <c r="N4" s="45"/>
      <c r="O4" s="45"/>
    </row>
    <row r="5" spans="1:15" ht="15">
      <c r="A5" s="1141" t="s">
        <v>543</v>
      </c>
      <c r="B5" s="1141"/>
      <c r="C5" s="1141"/>
      <c r="D5" s="1141"/>
      <c r="E5" s="1141"/>
      <c r="F5" s="44"/>
      <c r="G5" s="44"/>
      <c r="H5" s="44"/>
      <c r="I5" s="44"/>
      <c r="J5" s="44"/>
      <c r="K5" s="44"/>
      <c r="L5" s="44"/>
      <c r="M5" s="44"/>
      <c r="N5" s="44"/>
      <c r="O5" s="44"/>
    </row>
    <row r="6" spans="1:15" ht="15">
      <c r="A6" s="1151" t="str">
        <f>TCOS!F9</f>
        <v>AEP Appalachian Transmission Company</v>
      </c>
      <c r="B6" s="1151"/>
      <c r="C6" s="1151"/>
      <c r="D6" s="1151"/>
      <c r="E6" s="1151"/>
      <c r="F6" s="2"/>
      <c r="G6" s="2"/>
      <c r="H6" s="2"/>
      <c r="I6" s="2"/>
      <c r="J6" s="2"/>
      <c r="K6" s="2"/>
      <c r="L6" s="2"/>
      <c r="M6" s="2"/>
      <c r="N6" s="2"/>
      <c r="O6" s="2"/>
    </row>
    <row r="8" spans="1:15">
      <c r="A8" s="69" t="s">
        <v>459</v>
      </c>
      <c r="B8" s="70" t="s">
        <v>452</v>
      </c>
      <c r="C8" s="70" t="s">
        <v>453</v>
      </c>
    </row>
    <row r="9" spans="1:15">
      <c r="A9" s="69" t="s">
        <v>397</v>
      </c>
      <c r="B9" s="69" t="s">
        <v>457</v>
      </c>
      <c r="C9" s="69">
        <f>+TCOS!L4</f>
        <v>2026</v>
      </c>
    </row>
    <row r="10" spans="1:15">
      <c r="B10" s="98"/>
      <c r="C10" s="70"/>
    </row>
    <row r="11" spans="1:15">
      <c r="A11" s="1">
        <v>1</v>
      </c>
      <c r="B11" s="915" t="str">
        <f>"Net Funds from IPP Customers 12/31/"&amp;TCOS!L4-1&amp;" ("&amp;TCOS!L4&amp;" FORM 1, P269)"</f>
        <v>Net Funds from IPP Customers 12/31/2025 (2026 FORM 1, P269)</v>
      </c>
      <c r="C11" s="366">
        <v>0</v>
      </c>
    </row>
    <row r="12" spans="1:15">
      <c r="B12" s="3"/>
    </row>
    <row r="13" spans="1:15">
      <c r="A13" s="354">
        <v>2</v>
      </c>
      <c r="B13" s="915" t="s">
        <v>251</v>
      </c>
      <c r="C13" s="366">
        <v>0</v>
      </c>
    </row>
    <row r="14" spans="1:15">
      <c r="A14" s="354"/>
      <c r="B14" s="915"/>
    </row>
    <row r="15" spans="1:15">
      <c r="A15" s="354">
        <f>+A13+1</f>
        <v>3</v>
      </c>
      <c r="B15" s="915" t="s">
        <v>329</v>
      </c>
      <c r="C15" s="366">
        <v>0</v>
      </c>
    </row>
    <row r="16" spans="1:15">
      <c r="A16" s="354"/>
      <c r="B16" s="915"/>
    </row>
    <row r="17" spans="1:4">
      <c r="A17" s="354">
        <f>+A15+1</f>
        <v>4</v>
      </c>
      <c r="B17" s="916" t="s">
        <v>0</v>
      </c>
    </row>
    <row r="18" spans="1:4">
      <c r="A18" s="355">
        <f>+A17+1</f>
        <v>5</v>
      </c>
      <c r="B18" s="915" t="s">
        <v>330</v>
      </c>
      <c r="C18" s="366">
        <v>0</v>
      </c>
    </row>
    <row r="19" spans="1:4">
      <c r="A19" s="355">
        <f>+A18+1</f>
        <v>6</v>
      </c>
      <c r="B19" s="47" t="s">
        <v>406</v>
      </c>
      <c r="C19" s="366">
        <v>0</v>
      </c>
    </row>
    <row r="20" spans="1:4">
      <c r="A20" s="355"/>
      <c r="B20" s="3"/>
      <c r="C20" s="358"/>
    </row>
    <row r="21" spans="1:4">
      <c r="A21" s="355">
        <f>+A19+1</f>
        <v>7</v>
      </c>
      <c r="B21" s="915" t="str">
        <f>"Net Funds from IPP Customers 12/31/"&amp;TCOS!L4&amp;" ("&amp;TCOS!L4&amp;" FORM 1, P269)"</f>
        <v>Net Funds from IPP Customers 12/31/2026 (2026 FORM 1, P269)</v>
      </c>
      <c r="C21" s="359">
        <f>+C11+C13+C15+C18+C19</f>
        <v>0</v>
      </c>
      <c r="D21" s="360"/>
    </row>
    <row r="22" spans="1:4">
      <c r="A22" s="355"/>
      <c r="B22" s="357"/>
    </row>
    <row r="23" spans="1:4">
      <c r="A23" s="355">
        <f>+A21+1</f>
        <v>8</v>
      </c>
      <c r="B23" s="356" t="str">
        <f>"Average Balance for Year as Indicated in Column ((ln "&amp;A11&amp;" + ln "&amp;A21&amp;")/2)"</f>
        <v>Average Balance for Year as Indicated in Column ((ln 1 + ln 7)/2)</v>
      </c>
      <c r="C23" s="361">
        <f>AVERAGE(C21,C11)</f>
        <v>0</v>
      </c>
    </row>
    <row r="24" spans="1:4">
      <c r="A24" s="355"/>
      <c r="B24" s="357"/>
    </row>
    <row r="25" spans="1:4">
      <c r="A25" s="355"/>
      <c r="B25" s="357"/>
      <c r="C25" s="359"/>
    </row>
    <row r="26" spans="1:4" ht="15">
      <c r="A26" s="362" t="s">
        <v>287</v>
      </c>
      <c r="B26" s="1172" t="str">
        <f>"On this worksheet Company Records refers to  "&amp;A6&amp;"'s general ledger."</f>
        <v>On this worksheet Company Records refers to  AEP Appalachian Transmission Company's general ledger.</v>
      </c>
      <c r="C26" s="210"/>
    </row>
    <row r="27" spans="1:4">
      <c r="A27" s="363"/>
      <c r="B27" s="1173"/>
    </row>
    <row r="32" spans="1:4">
      <c r="D32" s="364"/>
    </row>
    <row r="38" spans="3:3">
      <c r="C38" s="365"/>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My8zMS8yMDIzIDE6MjY6NDQ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00EE0248-AE77-40E4-8A99-E0F2BCC3E69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7799A26-3FF2-4F22-B75B-ABC67CF9B54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WS R Schedule 1A</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Q Cap Structure'!Print_Area</vt:lpstr>
      <vt:lpstr>'WS R Interest'!Print_Area</vt:lpstr>
      <vt:lpstr>'WS R Schedule 1A'!Print_Area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2025-10-29T16:25:55Z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5e08640f-a4b9-4650-acfe-d3eb2adaa8bc</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{00EE0248-AE77-40E4-8A99-E0F2BCC3E69D}</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ies>
</file>